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sa.saltore\Downloads\Pocone\Escola\Nova licitação\Planilha\"/>
    </mc:Choice>
  </mc:AlternateContent>
  <xr:revisionPtr revIDLastSave="0" documentId="13_ncr:1_{A249DB6D-96A8-4BE2-880C-A7CC00EF0797}" xr6:coauthVersionLast="45" xr6:coauthVersionMax="45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res" sheetId="5" r:id="rId1"/>
    <sheet name="Orçamento" sheetId="1" r:id="rId2"/>
    <sheet name="COMPOSIÇÕES" sheetId="2" r:id="rId3"/>
    <sheet name="COMP AUX" sheetId="7" r:id="rId4"/>
    <sheet name="Administração da Obra" sheetId="4" r:id="rId5"/>
    <sheet name="Cronograma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ab1" localSheetId="3">#REF!</definedName>
    <definedName name="_cab1" localSheetId="5">#REF!</definedName>
    <definedName name="_cab1">#REF!</definedName>
    <definedName name="_xlnm._FilterDatabase" localSheetId="4" hidden="1">'Administração da Obra'!$A$8:$O$23</definedName>
    <definedName name="_xlnm._FilterDatabase" localSheetId="3" hidden="1">'COMP AUX'!#REF!</definedName>
    <definedName name="_xlnm._FilterDatabase" localSheetId="2" hidden="1">COMPOSIÇÕES!#REF!</definedName>
    <definedName name="_xlnm._FilterDatabase" localSheetId="1" hidden="1">Orçamento!$A$4:$Q$5</definedName>
    <definedName name="_JAZ1" localSheetId="3">#REF!</definedName>
    <definedName name="_JAZ1" localSheetId="5">#REF!</definedName>
    <definedName name="_JAZ1">#REF!</definedName>
    <definedName name="_JAZ11" localSheetId="3">#REF!</definedName>
    <definedName name="_JAZ11" localSheetId="5">#REF!</definedName>
    <definedName name="_JAZ11">#REF!</definedName>
    <definedName name="_JAZ2" localSheetId="3">#REF!</definedName>
    <definedName name="_JAZ2">#REF!</definedName>
    <definedName name="_JAZ22" localSheetId="3">#REF!</definedName>
    <definedName name="_JAZ22">#REF!</definedName>
    <definedName name="_JAZ3" localSheetId="3">#REF!</definedName>
    <definedName name="_JAZ3">#REF!</definedName>
    <definedName name="_JAZ33" localSheetId="3">#REF!</definedName>
    <definedName name="_JAZ33">#REF!</definedName>
    <definedName name="_Key1" hidden="1">'[1]1.6'!$A$11</definedName>
    <definedName name="_LAG2">[2]SERVIÇOS!$G$26</definedName>
    <definedName name="_Order1" hidden="1">255</definedName>
    <definedName name="_Order2" hidden="1">255</definedName>
    <definedName name="_PAG1">"$#REF!.$C$16"</definedName>
    <definedName name="_PAG10">"$#REF!.$C$26"</definedName>
    <definedName name="_PAG11">"$#REF!.$C$27"</definedName>
    <definedName name="_PAG12">"$#REF!.$C$28"</definedName>
    <definedName name="_PAG13">"$#REF!.$C$21"</definedName>
    <definedName name="_PAG2">"$#REF!.$C$17"</definedName>
    <definedName name="_PAG3">"$#REF!.$C$18"</definedName>
    <definedName name="_PAG4">"$#REF!.$C$19"</definedName>
    <definedName name="_PAG5">"$#REF!.$C$20"</definedName>
    <definedName name="_PAG6">"$#REF!.$C$22"</definedName>
    <definedName name="_PAG7">"$#REF!.$C$23"</definedName>
    <definedName name="_PAG8">"$#REF!.$C$24"</definedName>
    <definedName name="_PAG9">"$#REF!.$C$25"</definedName>
    <definedName name="_RET1" localSheetId="3">#REF!</definedName>
    <definedName name="_RET1" localSheetId="5">#REF!</definedName>
    <definedName name="_RET1">#REF!</definedName>
    <definedName name="_TB10">"'file:///D:/Meus documentos/ANASTÁCIO/SERCEL/BR262990800.xls'#$TLMB.$#REF!$#REF!"</definedName>
    <definedName name="_tb97">"$#REF!.$E$71"</definedName>
    <definedName name="_tbw97">"$#REF!.$E$73"</definedName>
    <definedName name="_TCB4">"$#REF!.$I$26"</definedName>
    <definedName name="_TCC4">"$#REF!.$I$18"</definedName>
    <definedName name="_TEB4">"$#REF!.$I$16"</definedName>
    <definedName name="_TT102" localSheetId="3">'[3]Relatório-1ª med.'!#REF!</definedName>
    <definedName name="_TT102" localSheetId="5">'[3]Relatório-1ª med.'!#REF!</definedName>
    <definedName name="_TT102">'[3]Relatório-1ª med.'!#REF!</definedName>
    <definedName name="_TT107" localSheetId="3">'[3]Relatório-1ª med.'!#REF!</definedName>
    <definedName name="_TT107" localSheetId="5">'[3]Relatório-1ª med.'!#REF!</definedName>
    <definedName name="_TT107">'[3]Relatório-1ª med.'!#REF!</definedName>
    <definedName name="_TT121" localSheetId="3">'[3]Relatório-1ª med.'!#REF!</definedName>
    <definedName name="_TT121" localSheetId="5">'[3]Relatório-1ª med.'!#REF!</definedName>
    <definedName name="_TT121">'[3]Relatório-1ª med.'!#REF!</definedName>
    <definedName name="_TT123" localSheetId="3">'[3]Relatório-1ª med.'!#REF!</definedName>
    <definedName name="_TT123" localSheetId="5">'[3]Relatório-1ª med.'!#REF!</definedName>
    <definedName name="_TT123">'[3]Relatório-1ª med.'!#REF!</definedName>
    <definedName name="_TT19" localSheetId="3">'[3]Relatório-1ª med.'!#REF!</definedName>
    <definedName name="_TT19" localSheetId="5">'[3]Relatório-1ª med.'!#REF!</definedName>
    <definedName name="_TT19">'[3]Relatório-1ª med.'!#REF!</definedName>
    <definedName name="_TT20" localSheetId="3">'[3]Relatório-1ª med.'!#REF!</definedName>
    <definedName name="_TT20">'[3]Relatório-1ª med.'!#REF!</definedName>
    <definedName name="_TT21" localSheetId="3">'[3]Relatório-1ª med.'!#REF!</definedName>
    <definedName name="_TT21">'[3]Relatório-1ª med.'!#REF!</definedName>
    <definedName name="_TT22" localSheetId="3">'[3]Relatório-1ª med.'!#REF!</definedName>
    <definedName name="_TT22">'[3]Relatório-1ª med.'!#REF!</definedName>
    <definedName name="_TT26" localSheetId="3">'[3]Relatório-1ª med.'!#REF!</definedName>
    <definedName name="_TT26">'[3]Relatório-1ª med.'!#REF!</definedName>
    <definedName name="_TT27" localSheetId="3">'[3]Relatório-1ª med.'!#REF!</definedName>
    <definedName name="_TT27">'[3]Relatório-1ª med.'!#REF!</definedName>
    <definedName name="_TT28" localSheetId="3">'[3]Relatório-1ª med.'!#REF!</definedName>
    <definedName name="_TT28">'[3]Relatório-1ª med.'!#REF!</definedName>
    <definedName name="_TT30" localSheetId="3">'[3]Relatório-1ª med.'!#REF!</definedName>
    <definedName name="_TT30">'[3]Relatório-1ª med.'!#REF!</definedName>
    <definedName name="_TT31" localSheetId="3">'[3]Relatório-1ª med.'!#REF!</definedName>
    <definedName name="_TT31">'[3]Relatório-1ª med.'!#REF!</definedName>
    <definedName name="_TT32" localSheetId="3">'[3]Relatório-1ª med.'!#REF!</definedName>
    <definedName name="_TT32">'[3]Relatório-1ª med.'!#REF!</definedName>
    <definedName name="_TT33" localSheetId="3">'[3]Relatório-1ª med.'!#REF!</definedName>
    <definedName name="_TT33">'[3]Relatório-1ª med.'!#REF!</definedName>
    <definedName name="_TT34" localSheetId="3">'[3]Relatório-1ª med.'!#REF!</definedName>
    <definedName name="_TT34">'[3]Relatório-1ª med.'!#REF!</definedName>
    <definedName name="_TT36" localSheetId="3">'[3]Relatório-1ª med.'!#REF!</definedName>
    <definedName name="_TT36">'[3]Relatório-1ª med.'!#REF!</definedName>
    <definedName name="_TT37" localSheetId="3">'[3]Relatório-1ª med.'!#REF!</definedName>
    <definedName name="_TT37">'[3]Relatório-1ª med.'!#REF!</definedName>
    <definedName name="_TT38" localSheetId="3">'[3]Relatório-1ª med.'!#REF!</definedName>
    <definedName name="_TT38">'[3]Relatório-1ª med.'!#REF!</definedName>
    <definedName name="_TT39" localSheetId="3">'[3]Relatório-1ª med.'!#REF!</definedName>
    <definedName name="_TT39">'[3]Relatório-1ª med.'!#REF!</definedName>
    <definedName name="_TT40" localSheetId="3">'[3]Relatório-1ª med.'!#REF!</definedName>
    <definedName name="_TT40">'[3]Relatório-1ª med.'!#REF!</definedName>
    <definedName name="_TT5" localSheetId="3">'[3]Relatório-1ª med.'!#REF!</definedName>
    <definedName name="_TT5">'[3]Relatório-1ª med.'!#REF!</definedName>
    <definedName name="_TT52" localSheetId="3">'[3]Relatório-1ª med.'!#REF!</definedName>
    <definedName name="_TT52">'[3]Relatório-1ª med.'!#REF!</definedName>
    <definedName name="_TT53" localSheetId="3">'[3]Relatório-1ª med.'!#REF!</definedName>
    <definedName name="_TT53">'[3]Relatório-1ª med.'!#REF!</definedName>
    <definedName name="_TT54" localSheetId="3">'[3]Relatório-1ª med.'!#REF!</definedName>
    <definedName name="_TT54">'[3]Relatório-1ª med.'!#REF!</definedName>
    <definedName name="_TT55" localSheetId="3">'[3]Relatório-1ª med.'!#REF!</definedName>
    <definedName name="_TT55">'[3]Relatório-1ª med.'!#REF!</definedName>
    <definedName name="_TT6" localSheetId="3">'[3]Relatório-1ª med.'!#REF!</definedName>
    <definedName name="_TT6">'[3]Relatório-1ª med.'!#REF!</definedName>
    <definedName name="_TT60" localSheetId="3">'[3]Relatório-1ª med.'!#REF!</definedName>
    <definedName name="_TT60">'[3]Relatório-1ª med.'!#REF!</definedName>
    <definedName name="_TT61" localSheetId="3">'[3]Relatório-1ª med.'!#REF!</definedName>
    <definedName name="_TT61">'[3]Relatório-1ª med.'!#REF!</definedName>
    <definedName name="_TT69" localSheetId="3">'[3]Relatório-1ª med.'!#REF!</definedName>
    <definedName name="_TT69">'[3]Relatório-1ª med.'!#REF!</definedName>
    <definedName name="_TT7" localSheetId="3">'[3]Relatório-1ª med.'!#REF!</definedName>
    <definedName name="_TT7">'[3]Relatório-1ª med.'!#REF!</definedName>
    <definedName name="_TT70" localSheetId="3">'[3]Relatório-1ª med.'!#REF!</definedName>
    <definedName name="_TT70">'[3]Relatório-1ª med.'!#REF!</definedName>
    <definedName name="_TT71" localSheetId="3">'[3]Relatório-1ª med.'!#REF!</definedName>
    <definedName name="_TT71">'[3]Relatório-1ª med.'!#REF!</definedName>
    <definedName name="_TT74" localSheetId="3">'[3]Relatório-1ª med.'!#REF!</definedName>
    <definedName name="_TT74">'[3]Relatório-1ª med.'!#REF!</definedName>
    <definedName name="_TT75" localSheetId="3">'[3]Relatório-1ª med.'!#REF!</definedName>
    <definedName name="_TT75">'[3]Relatório-1ª med.'!#REF!</definedName>
    <definedName name="_TT76" localSheetId="3">'[3]Relatório-1ª med.'!#REF!</definedName>
    <definedName name="_TT76">'[3]Relatório-1ª med.'!#REF!</definedName>
    <definedName name="_TT77" localSheetId="3">'[3]Relatório-1ª med.'!#REF!</definedName>
    <definedName name="_TT77">'[3]Relatório-1ª med.'!#REF!</definedName>
    <definedName name="_TT78" localSheetId="3">'[3]Relatório-1ª med.'!#REF!</definedName>
    <definedName name="_TT78">'[3]Relatório-1ª med.'!#REF!</definedName>
    <definedName name="_TT79" localSheetId="3">'[3]Relatório-1ª med.'!#REF!</definedName>
    <definedName name="_TT79">'[3]Relatório-1ª med.'!#REF!</definedName>
    <definedName name="_TT94" localSheetId="3">'[3]Relatório-1ª med.'!#REF!</definedName>
    <definedName name="_TT94">'[3]Relatório-1ª med.'!#REF!</definedName>
    <definedName name="_TT95" localSheetId="3">'[3]Relatório-1ª med.'!#REF!</definedName>
    <definedName name="_TT95">'[3]Relatório-1ª med.'!#REF!</definedName>
    <definedName name="_TT97" localSheetId="3">'[3]Relatório-1ª med.'!#REF!</definedName>
    <definedName name="_TT97">'[3]Relatório-1ª med.'!#REF!</definedName>
    <definedName name="alex" localSheetId="4" hidden="1">{#N/A,#N/A,FALSE,"MO (2)"}</definedName>
    <definedName name="alex" localSheetId="3" hidden="1">{#N/A,#N/A,FALSE,"MO (2)"}</definedName>
    <definedName name="alex" localSheetId="5" hidden="1">{#N/A,#N/A,FALSE,"MO (2)"}</definedName>
    <definedName name="alex" hidden="1">{#N/A,#N/A,FALSE,"MO (2)"}</definedName>
    <definedName name="AND" localSheetId="3">#REF!</definedName>
    <definedName name="AND" localSheetId="5">#REF!</definedName>
    <definedName name="AND">#REF!</definedName>
    <definedName name="anscount" hidden="1">3</definedName>
    <definedName name="ant" localSheetId="4" hidden="1">{#N/A,#N/A,FALSE,"MO (2)"}</definedName>
    <definedName name="ant" localSheetId="3" hidden="1">{#N/A,#N/A,FALSE,"MO (2)"}</definedName>
    <definedName name="ant" localSheetId="5" hidden="1">{#N/A,#N/A,FALSE,"MO (2)"}</definedName>
    <definedName name="ant" hidden="1">{#N/A,#N/A,FALSE,"MO (2)"}</definedName>
    <definedName name="AQCAP20">"$#REF!.$I$15"</definedName>
    <definedName name="AQCM30">"$#REF!.$I$16"</definedName>
    <definedName name="AQRM1C">"$#REF!.$I$18"</definedName>
    <definedName name="AQRR1C">"$#REF!.$I$17"</definedName>
    <definedName name="area_base">[4]Base!$U$40</definedName>
    <definedName name="_xlnm.Print_Area" localSheetId="4">'Administração da Obra'!$A$1:$O$66</definedName>
    <definedName name="_xlnm.Print_Area" localSheetId="3">'COMP AUX'!$A$1:$H$2287</definedName>
    <definedName name="_xlnm.Print_Area" localSheetId="2">COMPOSIÇÕES!$A$1:$H$4283</definedName>
    <definedName name="_xlnm.Print_Area" localSheetId="5">Cronograma!$A$1:$AB$40</definedName>
    <definedName name="_xlnm.Print_Area" localSheetId="1">Orçamento!$A$1:$Q$371</definedName>
    <definedName name="_xlnm.Print_Area" localSheetId="0">res!$A$1:$D$33</definedName>
    <definedName name="_xlnm.Print_Area">#REF!</definedName>
    <definedName name="ASFALTO" localSheetId="3">#REF!</definedName>
    <definedName name="ASFALTO" localSheetId="2">#REF!</definedName>
    <definedName name="ASFALTO" localSheetId="5">#REF!</definedName>
    <definedName name="ASFALTO">#REF!</definedName>
    <definedName name="ATUAL">"$#REF!.$F$29"</definedName>
    <definedName name="AUTO">"$#REF!.$D$12"</definedName>
    <definedName name="bbbb" localSheetId="4" hidden="1">{#N/A,#N/A,FALSE,"MO (2)"}</definedName>
    <definedName name="bbbb" localSheetId="3" hidden="1">{#N/A,#N/A,FALSE,"MO (2)"}</definedName>
    <definedName name="bbbb" localSheetId="5" hidden="1">{#N/A,#N/A,FALSE,"MO (2)"}</definedName>
    <definedName name="bbbb" hidden="1">{#N/A,#N/A,FALSE,"MO (2)"}</definedName>
    <definedName name="BR">[5]Croqui!$B$3</definedName>
    <definedName name="BRITA_DRENO" localSheetId="5" hidden="1">{#N/A,#N/A,TRUE,"Plan1"}</definedName>
    <definedName name="BRITA_DRENO" hidden="1">{#N/A,#N/A,TRUE,"Plan1"}</definedName>
    <definedName name="BRITA_TSD" localSheetId="5" hidden="1">{#N/A,#N/A,TRUE,"Plan1"}</definedName>
    <definedName name="BRITA_TSD" hidden="1">{#N/A,#N/A,TRUE,"Plan1"}</definedName>
    <definedName name="BRITA_TSD_2" localSheetId="5" hidden="1">{#N/A,#N/A,TRUE,"Plan1"}</definedName>
    <definedName name="BRITA_TSD_2" hidden="1">{#N/A,#N/A,TRUE,"Plan1"}</definedName>
    <definedName name="BRZ">[6]ORÇAMENTO!$B$4</definedName>
    <definedName name="cab_cortes" localSheetId="3">#REF!</definedName>
    <definedName name="cab_cortes" localSheetId="5">#REF!</definedName>
    <definedName name="cab_cortes">#REF!</definedName>
    <definedName name="cab_dmt" localSheetId="3">#REF!</definedName>
    <definedName name="cab_dmt" localSheetId="5">#REF!</definedName>
    <definedName name="cab_dmt">#REF!</definedName>
    <definedName name="cab_limpeza" localSheetId="3">#REF!</definedName>
    <definedName name="cab_limpeza" localSheetId="5">#REF!</definedName>
    <definedName name="cab_limpeza">#REF!</definedName>
    <definedName name="cab_pmf" localSheetId="3">#REF!</definedName>
    <definedName name="cab_pmf">#REF!</definedName>
    <definedName name="cabmeio" localSheetId="3">#REF!</definedName>
    <definedName name="cabmeio">#REF!</definedName>
    <definedName name="CAIA">"'file:///D:/Meus documentos/ANASTÁCIO/SERCEL/BR262990800.xls'#$SERVIÇOS.$#REF!$#REF!"</definedName>
    <definedName name="CAMI">"$#REF!.$D$13"</definedName>
    <definedName name="CAP20W">"$#REF!.$J$14"</definedName>
    <definedName name="CAP20WA">"$#REF!.$J$13"</definedName>
    <definedName name="CAPSEL">[2]SERVIÇOS!$G$25</definedName>
    <definedName name="CAPTOTAL">"$#REF!.$J$12"</definedName>
    <definedName name="CARRO">'[5]CALCULOS AUXILIARES'!$E$12</definedName>
    <definedName name="cch" hidden="1">#N/A</definedName>
    <definedName name="CCP">[6]SERVIÇOS!$G$59</definedName>
    <definedName name="CCPW">"$#REF!.$E$34"</definedName>
    <definedName name="CCPWA">"$#REF!.$E$33"</definedName>
    <definedName name="CD">[6]SERVIÇOS!$G$13</definedName>
    <definedName name="CD97A">"$#REF!.$H$80"</definedName>
    <definedName name="CD97AW">"$#REF!.$H$82"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DW">"$#REF!.$H$41"</definedName>
    <definedName name="CDWA">"$#REF!.$H$40"</definedName>
    <definedName name="Cliente" hidden="1">""</definedName>
    <definedName name="Cls" hidden="1">#N/A</definedName>
    <definedName name="CM">"$#REF!.$O$31"</definedName>
    <definedName name="CM30W">"$#REF!.$I$14"</definedName>
    <definedName name="CM30WA">"$#REF!.$I$13"</definedName>
    <definedName name="CMTOTAL">"$#REF!.$I$12"</definedName>
    <definedName name="CMW">"$#REF!.$O$33"</definedName>
    <definedName name="CMWA">"$#REF!.$O$32"</definedName>
    <definedName name="CODIGO" localSheetId="3">#REF!</definedName>
    <definedName name="CODIGO" localSheetId="2">#REF!</definedName>
    <definedName name="CODIGO" localSheetId="5">#REF!</definedName>
    <definedName name="CODIGO">#REF!</definedName>
    <definedName name="CONTR">[6]SERVIÇOS!$I$5</definedName>
    <definedName name="Cron" localSheetId="4" hidden="1">{#N/A,#N/A,FALSE,"MO (2)"}</definedName>
    <definedName name="Cron" localSheetId="3" hidden="1">{#N/A,#N/A,FALSE,"MO (2)"}</definedName>
    <definedName name="Cron" localSheetId="5" hidden="1">{#N/A,#N/A,FALSE,"MO (2)"}</definedName>
    <definedName name="Cron" hidden="1">{#N/A,#N/A,FALSE,"MO (2)"}</definedName>
    <definedName name="cronograma" localSheetId="4" hidden="1">{#N/A,#N/A,TRUE,"Plan1"}</definedName>
    <definedName name="cronograma" localSheetId="3" hidden="1">{#N/A,#N/A,TRUE,"Plan1"}</definedName>
    <definedName name="cronograma" localSheetId="2" hidden="1">{#N/A,#N/A,TRUE,"Plan1"}</definedName>
    <definedName name="cronograma" localSheetId="5" hidden="1">{#N/A,#N/A,TRUE,"Plan1"}</definedName>
    <definedName name="cronograma" localSheetId="0" hidden="1">{#N/A,#N/A,TRUE,"Plan1"}</definedName>
    <definedName name="cronograma" hidden="1">{#N/A,#N/A,TRUE,"Plan1"}</definedName>
    <definedName name="cronograma1" localSheetId="3" hidden="1">{#N/A,#N/A,TRUE,"Plan1"}</definedName>
    <definedName name="cronograma1" localSheetId="2" hidden="1">{#N/A,#N/A,TRUE,"Plan1"}</definedName>
    <definedName name="cronograma1" localSheetId="5" hidden="1">{#N/A,#N/A,TRUE,"Plan1"}</definedName>
    <definedName name="cronograma1" localSheetId="0" hidden="1">{#N/A,#N/A,TRUE,"Plan1"}</definedName>
    <definedName name="cronograma1" hidden="1">{#N/A,#N/A,TRUE,"Plan1"}</definedName>
    <definedName name="data" localSheetId="3">#REF!</definedName>
    <definedName name="data" localSheetId="5">#REF!</definedName>
    <definedName name="data">#REF!</definedName>
    <definedName name="DCA">"$#REF!.$E$31"</definedName>
    <definedName name="DCAW">"$#REF!.$E$33"</definedName>
    <definedName name="densidade_cap" localSheetId="3">#REF!</definedName>
    <definedName name="densidade_cap" localSheetId="5">#REF!</definedName>
    <definedName name="densidade_cap">#REF!</definedName>
    <definedName name="DescAux" hidden="1">#N/A</definedName>
    <definedName name="DGF" localSheetId="5" hidden="1">{#N/A,#N/A,FALSE,"MO (2)"}</definedName>
    <definedName name="DGF" hidden="1">{#N/A,#N/A,FALSE,"MO (2)"}</definedName>
    <definedName name="DIA">"$#REF!.$H$4"</definedName>
    <definedName name="DMT" localSheetId="3">#REF!</definedName>
    <definedName name="DMT" localSheetId="2">#REF!</definedName>
    <definedName name="DMT" localSheetId="5">#REF!</definedName>
    <definedName name="DMT">#REF!</definedName>
    <definedName name="DMT_0_50" localSheetId="3">#REF!</definedName>
    <definedName name="DMT_0_50" localSheetId="5">#REF!</definedName>
    <definedName name="DMT_0_50">#REF!</definedName>
    <definedName name="DMT_1000" localSheetId="3">#REF!</definedName>
    <definedName name="DMT_1000" localSheetId="5">#REF!</definedName>
    <definedName name="DMT_1000">#REF!</definedName>
    <definedName name="DMT_200" localSheetId="3">#REF!</definedName>
    <definedName name="DMT_200">#REF!</definedName>
    <definedName name="DMT_200_400" localSheetId="3">#REF!</definedName>
    <definedName name="DMT_200_400">#REF!</definedName>
    <definedName name="DMT_400" localSheetId="3">#REF!</definedName>
    <definedName name="DMT_400">#REF!</definedName>
    <definedName name="DMT_400_600" localSheetId="3">#REF!</definedName>
    <definedName name="DMT_400_600">#REF!</definedName>
    <definedName name="DMT_50" localSheetId="3">#REF!</definedName>
    <definedName name="DMT_50">#REF!</definedName>
    <definedName name="DMT_50_200" localSheetId="3">#REF!</definedName>
    <definedName name="DMT_50_200">#REF!</definedName>
    <definedName name="DMT_600" localSheetId="3">#REF!</definedName>
    <definedName name="DMT_600">#REF!</definedName>
    <definedName name="DMT_800" localSheetId="3">#REF!</definedName>
    <definedName name="DMT_800">#REF!</definedName>
    <definedName name="DNIT1">[5]Pato!$A$1</definedName>
    <definedName name="drena" localSheetId="3">#REF!</definedName>
    <definedName name="drena" localSheetId="5">#REF!</definedName>
    <definedName name="drena">#REF!</definedName>
    <definedName name="DTMED">"$#REF!.$C$8"</definedName>
    <definedName name="EA">[6]SERVIÇOS!$G$32</definedName>
    <definedName name="ee" localSheetId="3">[7]reg_mec_fx_dm_!#REF!</definedName>
    <definedName name="ee" localSheetId="2">[7]reg_mec_fx_dm_!#REF!</definedName>
    <definedName name="ee" localSheetId="5">[8]reg_mec_fx_dm_!#REF!</definedName>
    <definedName name="ee">[8]reg_mec_fx_dm_!#REF!</definedName>
    <definedName name="EM">"$#REF!.$E$30"</definedName>
    <definedName name="EMP">[6]SERVIÇOS!$I$6</definedName>
    <definedName name="EmpAux" hidden="1">""</definedName>
    <definedName name="Empo" localSheetId="3">#REF!</definedName>
    <definedName name="Empo" localSheetId="5">#REF!</definedName>
    <definedName name="Empo">#REF!</definedName>
    <definedName name="Empolamento" localSheetId="3">#REF!</definedName>
    <definedName name="Empolamento" localSheetId="5">#REF!</definedName>
    <definedName name="Empolamento">#REF!</definedName>
    <definedName name="EMW">"$#REF!.$E$32"</definedName>
    <definedName name="EMWA">"$#REF!.$E$31"</definedName>
    <definedName name="EU" localSheetId="4" hidden="1">{#N/A,#N/A,FALSE,"MO (2)"}</definedName>
    <definedName name="EU" localSheetId="3" hidden="1">{#N/A,#N/A,FALSE,"MO (2)"}</definedName>
    <definedName name="EU" localSheetId="5" hidden="1">{#N/A,#N/A,FALSE,"MO (2)"}</definedName>
    <definedName name="EU" hidden="1">{#N/A,#N/A,FALSE,"MO (2)"}</definedName>
    <definedName name="Excel_BuiltIn_Print_Area_2">"$Quad_Quant_.$#REF!$#REF!:$#REF!$#REF!"</definedName>
    <definedName name="Excel_BuiltIn_Print_Area_7" localSheetId="3">[7]reg_mec_fx_dm_!#REF!</definedName>
    <definedName name="Excel_BuiltIn_Print_Area_7" localSheetId="2">[7]reg_mec_fx_dm_!#REF!</definedName>
    <definedName name="Excel_BuiltIn_Print_Area_7" localSheetId="5">[8]reg_mec_fx_dm_!#REF!</definedName>
    <definedName name="Excel_BuiltIn_Print_Area_7">[8]reg_mec_fx_dm_!#REF!</definedName>
    <definedName name="EXT" localSheetId="3">#REF!</definedName>
    <definedName name="EXT" localSheetId="2">#REF!</definedName>
    <definedName name="EXT" localSheetId="5">#REF!</definedName>
    <definedName name="EXT">#REF!</definedName>
    <definedName name="EXTENSÃO">[5]Croqui!$A$7</definedName>
    <definedName name="EXTENSÃO1">[5]Croqui!$B$7</definedName>
    <definedName name="FAT" localSheetId="3">#REF!</definedName>
    <definedName name="FAT" localSheetId="2">#REF!</definedName>
    <definedName name="FAT" localSheetId="5">#REF!</definedName>
    <definedName name="FAT">#REF!</definedName>
    <definedName name="FCT" localSheetId="3">#REF!</definedName>
    <definedName name="FCT" localSheetId="2">#REF!</definedName>
    <definedName name="FCT" localSheetId="5">#REF!</definedName>
    <definedName name="FCT">#REF!</definedName>
    <definedName name="FE">"'file:///D:/Meus documentos/ANASTÁCIO/SERCEL/BR262990800.xls'#$SERVIÇOS.$#REF!$#REF!"</definedName>
    <definedName name="fgff" localSheetId="4" hidden="1">{#N/A,#N/A,FALSE,"MO (2)"}</definedName>
    <definedName name="fgff" localSheetId="3" hidden="1">{#N/A,#N/A,FALSE,"MO (2)"}</definedName>
    <definedName name="fgff" localSheetId="5" hidden="1">{#N/A,#N/A,FALSE,"MO (2)"}</definedName>
    <definedName name="fgff" hidden="1">{#N/A,#N/A,FALSE,"MO (2)"}</definedName>
    <definedName name="FM">"$#REF!.$E$31"</definedName>
    <definedName name="FMW">"$#REF!.$E$33"</definedName>
    <definedName name="FMWA">"$#REF!.$E$32"</definedName>
    <definedName name="GP">"'file:///D:/Meus documentos/ANASTÁCIO/SERCEL/BR262990800.xls'#$SERVIÇOS.$#REF!$#REF!"</definedName>
    <definedName name="IND" localSheetId="3">#REF!</definedName>
    <definedName name="IND" localSheetId="2">#REF!</definedName>
    <definedName name="IND" localSheetId="5">#REF!</definedName>
    <definedName name="IND">#REF!</definedName>
    <definedName name="INDI22" localSheetId="3">#REF!</definedName>
    <definedName name="INDI22" localSheetId="5">#REF!</definedName>
    <definedName name="INDI22">#REF!</definedName>
    <definedName name="inic" localSheetId="3">#REF!</definedName>
    <definedName name="inic" localSheetId="5">#REF!</definedName>
    <definedName name="inic">#REF!</definedName>
    <definedName name="koae" localSheetId="3">#REF!</definedName>
    <definedName name="koae">#REF!</definedName>
    <definedName name="kpavi" localSheetId="3">#REF!</definedName>
    <definedName name="kpavi">#REF!</definedName>
    <definedName name="kterra" localSheetId="3">#REF!</definedName>
    <definedName name="kterra">#REF!</definedName>
    <definedName name="la" localSheetId="4" hidden="1">{#N/A,#N/A,FALSE,"MO (2)"}</definedName>
    <definedName name="la" localSheetId="3" hidden="1">{#N/A,#N/A,FALSE,"MO (2)"}</definedName>
    <definedName name="la" localSheetId="5" hidden="1">{#N/A,#N/A,FALSE,"MO (2)"}</definedName>
    <definedName name="la" hidden="1">{#N/A,#N/A,FALSE,"MO (2)"}</definedName>
    <definedName name="LDD">"'file:///D:/Meus documentos/ANASTÁCIO/SERCEL/BR262990800.xls'#$SERVIÇOS.$#REF!$#REF!"</definedName>
    <definedName name="LDI" localSheetId="3">#REF!</definedName>
    <definedName name="LDI" localSheetId="2">#REF!</definedName>
    <definedName name="LDI" localSheetId="5">#REF!</definedName>
    <definedName name="LDI">#REF!</definedName>
    <definedName name="LOCAL">"$#REF!.$D$5"</definedName>
    <definedName name="LOTE">[5]Croqui!$I$6</definedName>
    <definedName name="LP">"$#REF!.$E$28"</definedName>
    <definedName name="LPW">"$#REF!.$E$30"</definedName>
    <definedName name="LPWA">"$#REF!.$E$29"</definedName>
    <definedName name="LS">"$#REF!.$E$27"</definedName>
    <definedName name="LSW">"$#REF!.$E$29"</definedName>
    <definedName name="LSWA">"$#REF!.$E$28"</definedName>
    <definedName name="LVC">"'file:///D:/Meus documentos/ANASTÁCIO/SERCEL/BR262990800.xls'#$SERVIÇOS.$#REF!$#REF!"</definedName>
    <definedName name="LVD">"'file:///D:/Meus documentos/ANASTÁCIO/SERCEL/BR262990800.xls'#$SERVIÇOS.$#REF!$#REF!"</definedName>
    <definedName name="m" localSheetId="3">#REF!</definedName>
    <definedName name="m" localSheetId="5">#REF!</definedName>
    <definedName name="m" localSheetId="0">'[9]materiais drenagem'!$C$14</definedName>
    <definedName name="m">#REF!</definedName>
    <definedName name="MATBET" localSheetId="3">#REF!</definedName>
    <definedName name="MATBET" localSheetId="2">#REF!</definedName>
    <definedName name="MATBET" localSheetId="5">#REF!</definedName>
    <definedName name="MATBET">#REF!</definedName>
    <definedName name="MBQ">[6]SERVIÇOS!$G$57</definedName>
    <definedName name="MBR">"$#REF!.$I$34"</definedName>
    <definedName name="MBUF">"$#REF!.$D$12"</definedName>
    <definedName name="MBUFW">"$#REF!.$D$14"</definedName>
    <definedName name="MBUFWA">"$#REF!.$D$13"</definedName>
    <definedName name="MBUQ">"$#REF!.$E$12"</definedName>
    <definedName name="MBUQW">"$#REF!.$E$14"</definedName>
    <definedName name="MBUQWA">"$#REF!.$E$13"</definedName>
    <definedName name="MD">[6]SERVIÇOS!$G$60</definedName>
    <definedName name="MEIO_FIO" localSheetId="3">#REF!</definedName>
    <definedName name="MEIO_FIO" localSheetId="5">#REF!</definedName>
    <definedName name="MEIO_FIO">#REF!</definedName>
    <definedName name="MES">"$#REF!.$C$4"</definedName>
    <definedName name="MÊS" localSheetId="3">#REF!</definedName>
    <definedName name="MÊS" localSheetId="2">#REF!</definedName>
    <definedName name="MÊS" localSheetId="5">#REF!</definedName>
    <definedName name="MÊS">#REF!</definedName>
    <definedName name="mo_base">[4]Base!$U$39</definedName>
    <definedName name="mo_sub_base">'[4]Sub-base'!$U$36</definedName>
    <definedName name="NLEq" hidden="1">4</definedName>
    <definedName name="NLMo" hidden="1">6</definedName>
    <definedName name="NLMp" hidden="1">5</definedName>
    <definedName name="NLTr" hidden="1">3</definedName>
    <definedName name="NUMED">"$#REF!.$C$3"</definedName>
    <definedName name="oac" localSheetId="3">#REF!</definedName>
    <definedName name="oac" localSheetId="5">#REF!</definedName>
    <definedName name="oac">#REF!</definedName>
    <definedName name="oae" localSheetId="3">#REF!</definedName>
    <definedName name="oae" localSheetId="5">#REF!</definedName>
    <definedName name="oae">#REF!</definedName>
    <definedName name="Obra" hidden="1">""</definedName>
    <definedName name="ocom" localSheetId="3">#REF!</definedName>
    <definedName name="ocom" localSheetId="5">#REF!</definedName>
    <definedName name="ocom">#REF!</definedName>
    <definedName name="OnOff" hidden="1">"ON"</definedName>
    <definedName name="Orçamento" localSheetId="3">[10]Orçamento!$A$13:$D$34</definedName>
    <definedName name="Orçamento" localSheetId="2">[10]Orçamento!$A$13:$D$34</definedName>
    <definedName name="Orçamento">[11]Orçamento!$A$13:$D$34</definedName>
    <definedName name="PATO" localSheetId="3">#REF!</definedName>
    <definedName name="PATO" localSheetId="2">#REF!</definedName>
    <definedName name="PATO" localSheetId="5">#REF!</definedName>
    <definedName name="PATO">#REF!</definedName>
    <definedName name="PAVI" localSheetId="3">#REF!</definedName>
    <definedName name="PAVI" localSheetId="5">#REF!</definedName>
    <definedName name="PAVI">#REF!</definedName>
    <definedName name="PCAIA">"'file:///D:/Meus documentos/ANASTÁCIO/SERCEL/BR262990800.xls'#$SERVIÇOS.$#REF!$#REF!"</definedName>
    <definedName name="PEN">[2]SERVIÇOS!$G$59</definedName>
    <definedName name="PG">"$#REF!.$C$1"</definedName>
    <definedName name="PGP">"'file:///D:/Meus documentos/ANASTÁCIO/SERCEL/BR262990800.xls'#$SERVIÇOS.$#REF!$#REF!"</definedName>
    <definedName name="PL">"$#REF!.$F$12"</definedName>
    <definedName name="plano" localSheetId="3">#REF!</definedName>
    <definedName name="plano" localSheetId="5">#REF!</definedName>
    <definedName name="plano">#REF!</definedName>
    <definedName name="PLCD">"$#REF!.$L$39"</definedName>
    <definedName name="PLCD97">"$#REF!.$L$80"</definedName>
    <definedName name="PLDD">"'file:///D:/Meus documentos/ANASTÁCIO/SERCEL/BR262990800.xls'#$SERVIÇOS.$#REF!$#REF!"</definedName>
    <definedName name="PLIQ">"$#REF!.$C$5"</definedName>
    <definedName name="pliq1">"$#REF!.$C$6"</definedName>
    <definedName name="PLMBUQ">"$#REF!.$L$32"</definedName>
    <definedName name="PLVC">"'file:///D:/Meus documentos/ANASTÁCIO/SERCEL/BR262990800.xls'#$SERVIÇOS.$#REF!$#REF!"</definedName>
    <definedName name="PLVD">"'file:///D:/Meus documentos/ANASTÁCIO/SERCEL/BR262990800.xls'#$SERVIÇOS.$#REF!$#REF!"</definedName>
    <definedName name="PLW">"$#REF!.$F$14"</definedName>
    <definedName name="PLWA">"$#REF!.$F$13"</definedName>
    <definedName name="Prd" hidden="1">#N/A</definedName>
    <definedName name="PrdAux" hidden="1">#N/A</definedName>
    <definedName name="PRDM">"'file:///D:/Meus documentos/ANASTÁCIO/SERCEL/BR262990800.xls'#$SERVIÇOS.$#REF!$#REF!"</definedName>
    <definedName name="Print_Area_MI" localSheetId="3">#REF!</definedName>
    <definedName name="Print_Area_MI" localSheetId="2">#REF!</definedName>
    <definedName name="Print_Area_MI" localSheetId="5">#REF!</definedName>
    <definedName name="Print_Area_MI">#REF!</definedName>
    <definedName name="PRINT_TITLES_MI" localSheetId="3">#REF!</definedName>
    <definedName name="PRINT_TITLES_MI" localSheetId="2">#REF!</definedName>
    <definedName name="PRINT_TITLES_MI" localSheetId="5">#REF!</definedName>
    <definedName name="PRINT_TITLES_MI">#REF!</definedName>
    <definedName name="PRMCC">"'file:///D:/Meus documentos/ANASTÁCIO/SERCEL/BR262990800.xls'#$SERVIÇOS.$#REF!$#REF!"</definedName>
    <definedName name="PRRMBF">"'file:///D:/Meus documentos/ANASTÁCIO/SERCEL/BR262990800.xls'#$SERVIÇOS.$#REF!$#REF!"</definedName>
    <definedName name="QUANT_acumu" localSheetId="3">#REF!</definedName>
    <definedName name="QUANT_acumu" localSheetId="5">#REF!</definedName>
    <definedName name="QUANT_acumu">#REF!</definedName>
    <definedName name="RDM">"'file:///D:/Meus documentos/ANASTÁCIO/SERCEL/BR262990800.xls'#$SERVIÇOS.$#REF!$#REF!"</definedName>
    <definedName name="rea" localSheetId="3">#REF!</definedName>
    <definedName name="rea" localSheetId="5">#REF!</definedName>
    <definedName name="rea">#REF!</definedName>
    <definedName name="REAJ">"$#REF!.$F$16"</definedName>
    <definedName name="REG" localSheetId="3">#REF!</definedName>
    <definedName name="REG" localSheetId="5">#REF!</definedName>
    <definedName name="REG">#REF!</definedName>
    <definedName name="REGULA" localSheetId="3">#REF!</definedName>
    <definedName name="REGULA" localSheetId="5">#REF!</definedName>
    <definedName name="REGULA">#REF!</definedName>
    <definedName name="RELATÓRIO_DOS_SERVIÇOS_EXECUTADOS" localSheetId="3">#REF!</definedName>
    <definedName name="RELATÓRIO_DOS_SERVIÇOS_EXECUTADOS" localSheetId="5">#REF!</definedName>
    <definedName name="RELATÓRIO_DOS_SERVIÇOS_EXECUTADOS">#REF!</definedName>
    <definedName name="resumo" localSheetId="3" hidden="1">{#N/A,#N/A,TRUE,"Plan1"}</definedName>
    <definedName name="resumo" localSheetId="2" hidden="1">{#N/A,#N/A,TRUE,"Plan1"}</definedName>
    <definedName name="resumo" localSheetId="5" hidden="1">{#N/A,#N/A,TRUE,"Plan1"}</definedName>
    <definedName name="resumo" localSheetId="0" hidden="1">{#N/A,#N/A,TRUE,"Plan1"}</definedName>
    <definedName name="resumo" hidden="1">{#N/A,#N/A,TRUE,"Plan1"}</definedName>
    <definedName name="resumou" localSheetId="4" hidden="1">{#N/A,#N/A,TRUE,"Plan1"}</definedName>
    <definedName name="resumou" localSheetId="3" hidden="1">{#N/A,#N/A,TRUE,"Plan1"}</definedName>
    <definedName name="resumou" localSheetId="2" hidden="1">{#N/A,#N/A,TRUE,"Plan1"}</definedName>
    <definedName name="resumou" localSheetId="5" hidden="1">{#N/A,#N/A,TRUE,"Plan1"}</definedName>
    <definedName name="resumou" localSheetId="0" hidden="1">{#N/A,#N/A,TRUE,"Plan1"}</definedName>
    <definedName name="resumou" hidden="1">{#N/A,#N/A,TRUE,"Plan1"}</definedName>
    <definedName name="RM">"$#REF!.$E$31"</definedName>
    <definedName name="RM1CW">"$#REF!.$G$14"</definedName>
    <definedName name="RM1CWA">"$#REF!.$G$13"</definedName>
    <definedName name="RMA">"$#REF!.$E$28"</definedName>
    <definedName name="RMAW">"$#REF!.$E$30"</definedName>
    <definedName name="RMAWA">"$#REF!.$E$29"</definedName>
    <definedName name="RMCC">"'file:///D:/Meus documentos/ANASTÁCIO/SERCEL/BR262990800.xls'#$SERVIÇOS.$#REF!$#REF!"</definedName>
    <definedName name="RMCCW">"$#REF!.$J$33"</definedName>
    <definedName name="RMCCWA">"$#REF!.$J$32"</definedName>
    <definedName name="RMTOTAL">"$#REF!.$G$12"</definedName>
    <definedName name="RMW">"$#REF!.$E$33"</definedName>
    <definedName name="RMWA">"$#REF!.$E$32"</definedName>
    <definedName name="RMZ">"'file:///D:/Meus documentos/ANASTÁCIO/SERCEL/BR262990800.xls'#$SERVIÇOS.$#REF!$#REF!"</definedName>
    <definedName name="RMZW">"$#REF!.$J$30"</definedName>
    <definedName name="RMZWA">"$#REF!.$J$29"</definedName>
    <definedName name="RODOVIA" localSheetId="3">#REF!</definedName>
    <definedName name="RODOVIA" localSheetId="2">#REF!</definedName>
    <definedName name="RODOVIA" localSheetId="5">#REF!</definedName>
    <definedName name="RODOVIA">#REF!</definedName>
    <definedName name="RP">[6]SERVIÇOS!$G$12</definedName>
    <definedName name="RPW">"$#REF!.$K$36"</definedName>
    <definedName name="RPWA">"$#REF!.$K$35"</definedName>
    <definedName name="RPZ">"'file:///D:/Meus documentos/ANASTÁCIO/SERCEL/BR262990800.xls'#$SERVIÇOS.$#REF!$#REF!"</definedName>
    <definedName name="RR1CW">"$#REF!.$H$14"</definedName>
    <definedName name="RR1CWA">"$#REF!.$H$13"</definedName>
    <definedName name="RRMBF">"'file:///D:/Meus documentos/ANASTÁCIO/SERCEL/BR262990800.xls'#$SERVIÇOS.$#REF!$#REF!"</definedName>
    <definedName name="RRMBUQ">"$#REF!.$H$32"</definedName>
    <definedName name="RRMBUQW">"$#REF!.$H$34"</definedName>
    <definedName name="RRMBUQWA">"$#REF!.$H$33"</definedName>
    <definedName name="RRTOTAL">"$#REF!.$H$12"</definedName>
    <definedName name="rz">[6]SERVIÇOS!$G$37</definedName>
    <definedName name="SASA" localSheetId="4" hidden="1">{#N/A,#N/A,FALSE,"MO (2)"}</definedName>
    <definedName name="SASA" localSheetId="3" hidden="1">{#N/A,#N/A,FALSE,"MO (2)"}</definedName>
    <definedName name="SASA" localSheetId="5" hidden="1">{#N/A,#N/A,FALSE,"MO (2)"}</definedName>
    <definedName name="SASA" hidden="1">{#N/A,#N/A,FALSE,"MO (2)"}</definedName>
    <definedName name="SASASA" localSheetId="4" hidden="1">{#N/A,#N/A,FALSE,"MO (2)"}</definedName>
    <definedName name="SASASA" localSheetId="3" hidden="1">{#N/A,#N/A,FALSE,"MO (2)"}</definedName>
    <definedName name="SASASA" localSheetId="5" hidden="1">{#N/A,#N/A,FALSE,"MO (2)"}</definedName>
    <definedName name="SASASA" hidden="1">{#N/A,#N/A,FALSE,"MO (2)"}</definedName>
    <definedName name="SB">"'file:///D:/Meus documentos/ANASTÁCIO/SERCEL/BR262990800.xls'#$SERVIÇOS.$#REF!$#REF!"</definedName>
    <definedName name="SBRP">"'file:///D:/Meus documentos/ANASTÁCIO/SERCEL/BR262990800.xls'#$SERVIÇOS.$#REF!$#REF!"</definedName>
    <definedName name="SCB">[6]SERVIÇOS!$G$55</definedName>
    <definedName name="SEGMENTO" localSheetId="3">#REF!</definedName>
    <definedName name="SEGMENTO" localSheetId="2">#REF!</definedName>
    <definedName name="SEGMENTO" localSheetId="5">#REF!</definedName>
    <definedName name="SEGMENTO">#REF!</definedName>
    <definedName name="sencount" hidden="1">1</definedName>
    <definedName name="SERV">"$#REF!.$C$7"</definedName>
    <definedName name="Serviços" localSheetId="3">[12]Serviços!$A$3:$AF$1403</definedName>
    <definedName name="Serviços" localSheetId="2">[12]Serviços!$A$3:$AF$1403</definedName>
    <definedName name="Serviços" localSheetId="5">[13]Solum!$A$3:$AD$2430</definedName>
    <definedName name="Serviços">[14]Serviços!$A$3:$AF$1403</definedName>
    <definedName name="SM">"$#REF!.$J$34"</definedName>
    <definedName name="SMW">"$#REF!.$J$36"</definedName>
    <definedName name="SMWA">"$#REF!.$J$35"</definedName>
    <definedName name="SRROO">[5]Croqui!$I$4</definedName>
    <definedName name="SS" localSheetId="4" hidden="1">{#N/A,#N/A,FALSE,"MO (2)"}</definedName>
    <definedName name="SS" localSheetId="3" hidden="1">{#N/A,#N/A,FALSE,"MO (2)"}</definedName>
    <definedName name="SS" localSheetId="5" hidden="1">{#N/A,#N/A,FALSE,"MO (2)"}</definedName>
    <definedName name="SS" hidden="1">{#N/A,#N/A,FALSE,"MO (2)"}</definedName>
    <definedName name="SSS" localSheetId="4" hidden="1">{#N/A,#N/A,FALSE,"MO (2)"}</definedName>
    <definedName name="SSS" localSheetId="3" hidden="1">{#N/A,#N/A,FALSE,"MO (2)"}</definedName>
    <definedName name="SSS" localSheetId="5" hidden="1">{#N/A,#N/A,FALSE,"MO (2)"}</definedName>
    <definedName name="SSS" hidden="1">{#N/A,#N/A,FALSE,"MO (2)"}</definedName>
    <definedName name="sssssssssssssssssssss" localSheetId="5" hidden="1">{#N/A,#N/A,TRUE,"Plan1"}</definedName>
    <definedName name="sssssssssssssssssssss" hidden="1">{#N/A,#N/A,TRUE,"Plan1"}</definedName>
    <definedName name="STR">[6]ORÇAMENTO!$B$6</definedName>
    <definedName name="SUBT1" localSheetId="3">#REF!</definedName>
    <definedName name="SUBT1" localSheetId="2">#REF!</definedName>
    <definedName name="SUBT1" localSheetId="5">#REF!</definedName>
    <definedName name="SUBT1">#REF!</definedName>
    <definedName name="SUBTRECHO" localSheetId="3">#REF!</definedName>
    <definedName name="SUBTRECHO" localSheetId="2">#REF!</definedName>
    <definedName name="SUBTRECHO" localSheetId="5">#REF!</definedName>
    <definedName name="SUBTRECHO">#REF!</definedName>
    <definedName name="SUBTRECHO1">[5]Croqui!$B$6</definedName>
    <definedName name="TABELA">"$#REF!.$B$32"</definedName>
    <definedName name="Tachas" localSheetId="4" hidden="1">{#N/A,#N/A,TRUE,"Plan1"}</definedName>
    <definedName name="Tachas" localSheetId="3" hidden="1">{#N/A,#N/A,TRUE,"Plan1"}</definedName>
    <definedName name="Tachas" localSheetId="5" hidden="1">{#N/A,#N/A,TRUE,"Plan1"}</definedName>
    <definedName name="Tachas" hidden="1">{#N/A,#N/A,TRUE,"Plan1"}</definedName>
    <definedName name="taxa_cap" localSheetId="3">#REF!</definedName>
    <definedName name="taxa_cap" localSheetId="5">#REF!</definedName>
    <definedName name="taxa_cap">#REF!</definedName>
    <definedName name="TB">[6]SERVIÇOS!$G$11</definedName>
    <definedName name="TBW">"$#REF!.$E$33"</definedName>
    <definedName name="TBWA">"$#REF!.$E$32"</definedName>
    <definedName name="TCB">"$#REF!.$G$31"</definedName>
    <definedName name="TCB10M3" localSheetId="3">#REF!</definedName>
    <definedName name="TCB10M3" localSheetId="2">#REF!</definedName>
    <definedName name="TCB10M3" localSheetId="5">#REF!</definedName>
    <definedName name="TCB10M3">#REF!</definedName>
    <definedName name="TCB5M3">"$#REF!.$J$32"</definedName>
    <definedName name="TCBMBUQ">"$#REF!.$K$32"</definedName>
    <definedName name="TCBW">"$#REF!.$G$33"</definedName>
    <definedName name="TCBWA">"$#REF!.$G$32"</definedName>
    <definedName name="TCC">"$#REF!.$G$44"</definedName>
    <definedName name="TCC4TCONCR">"$#REF!.$I$32"</definedName>
    <definedName name="TCC4TFORMA">"$#REF!.$H$31"</definedName>
    <definedName name="TCCBRMZ">"$#REF!.$M$28"</definedName>
    <definedName name="TCCW">"$#REF!.$G$46"</definedName>
    <definedName name="TCCWA">"$#REF!.$G$45"</definedName>
    <definedName name="TEB">"$#REF!.$G$16"</definedName>
    <definedName name="TEBW">"$#REF!.$G$18"</definedName>
    <definedName name="TEBWA">"$#REF!.$G$17"</definedName>
    <definedName name="TECD">"$#REF!.$K$39"</definedName>
    <definedName name="TECD97">"$#REF!.$K$80"</definedName>
    <definedName name="TERP">"$#REF!.$P$34"</definedName>
    <definedName name="terra" localSheetId="3">#REF!</definedName>
    <definedName name="terra" localSheetId="5">#REF!</definedName>
    <definedName name="terra">#REF!</definedName>
    <definedName name="TESM">"$#REF!.$Q$34"</definedName>
    <definedName name="TETB">"$#REF!.$H$30"</definedName>
    <definedName name="TETB97">"$#REF!.$H$70"</definedName>
    <definedName name="_xlnm.Print_Titles" localSheetId="1">Orçamento!$3:$4</definedName>
    <definedName name="TLC4T" localSheetId="3">#REF!</definedName>
    <definedName name="TLC4T" localSheetId="2">#REF!</definedName>
    <definedName name="TLC4T" localSheetId="5">#REF!</definedName>
    <definedName name="TLC4T">#REF!</definedName>
    <definedName name="TLMR" localSheetId="3">#REF!</definedName>
    <definedName name="TLMR" localSheetId="2">#REF!</definedName>
    <definedName name="TLMR" localSheetId="5">#REF!</definedName>
    <definedName name="TLMR">#REF!</definedName>
    <definedName name="TR">[6]ORÇAMENTO!$B$5</definedName>
    <definedName name="TRABALHO" localSheetId="3">#REF!</definedName>
    <definedName name="TRABALHO" localSheetId="2">#REF!</definedName>
    <definedName name="TRABALHO" localSheetId="5">#REF!</definedName>
    <definedName name="TRABALHO">#REF!</definedName>
    <definedName name="Transporte_Brita_TSD" localSheetId="5" hidden="1">{#N/A,#N/A,TRUE,"Plan1"}</definedName>
    <definedName name="Transporte_Brita_TSD" hidden="1">{#N/A,#N/A,TRUE,"Plan1"}</definedName>
    <definedName name="TRCAP20">"$#REF!.$I$27"</definedName>
    <definedName name="TRCM30">"$#REF!.$I$28"</definedName>
    <definedName name="TRECHO" localSheetId="3">#REF!</definedName>
    <definedName name="TRECHO" localSheetId="2">#REF!</definedName>
    <definedName name="TRECHO" localSheetId="5">#REF!</definedName>
    <definedName name="TRECHO">#REF!</definedName>
    <definedName name="TRECHO1">[5]Croqui!$B$5</definedName>
    <definedName name="TRRM1C">"$#REF!.$I$30"</definedName>
    <definedName name="TRRR1C">"$#REF!.$I$29"</definedName>
    <definedName name="TS2C">"'file:///D:/Meus documentos/ANASTÁCIO/SERCEL/BR262990800.xls'#$TLMB.$#REF!$#REF!"</definedName>
    <definedName name="TSD">"'file:///D:/Meus documentos/ANASTÁCIO/SERCEL/BR262990800.xls'#$SERVIÇOS.$#REF!$#REF!"</definedName>
    <definedName name="un" hidden="1">#N/A</definedName>
    <definedName name="UnidAux" hidden="1">#N/A</definedName>
    <definedName name="VACAP">"$#REF!.$D$38"</definedName>
    <definedName name="VACM">"$#REF!.$D$37"</definedName>
    <definedName name="Vanessa" hidden="1">{#N/A,#N/A,FALSE,"MO (2)"}</definedName>
    <definedName name="VARM">"$#REF!.$D$36"</definedName>
    <definedName name="VARR">"$#REF!.$D$34"</definedName>
    <definedName name="VLM">"$#REF!.$#REF!$#REF!"</definedName>
    <definedName name="VLPI">"$#REF!.$#REF!$#REF!"</definedName>
    <definedName name="VLREAJ">"$#REF!.$#REF!$#REF!"</definedName>
    <definedName name="vvv" localSheetId="4" hidden="1">{#N/A,#N/A,FALSE,"MO (2)"}</definedName>
    <definedName name="vvv" localSheetId="3" hidden="1">{#N/A,#N/A,FALSE,"MO (2)"}</definedName>
    <definedName name="vvv" localSheetId="5" hidden="1">{#N/A,#N/A,FALSE,"MO (2)"}</definedName>
    <definedName name="vvv" hidden="1">{#N/A,#N/A,FALSE,"MO (2)"}</definedName>
    <definedName name="w" localSheetId="3" hidden="1">{#N/A,#N/A,TRUE,"Plan1"}</definedName>
    <definedName name="w" localSheetId="2" hidden="1">{#N/A,#N/A,TRUE,"Plan1"}</definedName>
    <definedName name="w" localSheetId="5" hidden="1">{#N/A,#N/A,TRUE,"Plan1"}</definedName>
    <definedName name="w" localSheetId="0" hidden="1">{#N/A,#N/A,TRUE,"Plan1"}</definedName>
    <definedName name="w" hidden="1">{#N/A,#N/A,TRUE,"Plan1"}</definedName>
    <definedName name="wrn.mo2." localSheetId="4" hidden="1">{#N/A,#N/A,FALSE,"MO (2)"}</definedName>
    <definedName name="wrn.mo2." localSheetId="3" hidden="1">{#N/A,#N/A,FALSE,"MO (2)"}</definedName>
    <definedName name="wrn.mo2." localSheetId="5" hidden="1">{#N/A,#N/A,FALSE,"MO (2)"}</definedName>
    <definedName name="wrn.mo2." hidden="1">{#N/A,#N/A,FALSE,"MO (2)"}</definedName>
    <definedName name="wrn.relext." localSheetId="4" hidden="1">{#N/A,#N/A,TRUE,"Plan1"}</definedName>
    <definedName name="wrn.relext." localSheetId="3" hidden="1">{#N/A,#N/A,TRUE,"Plan1"}</definedName>
    <definedName name="wrn.relext." localSheetId="2" hidden="1">{#N/A,#N/A,TRUE,"Plan1"}</definedName>
    <definedName name="wrn.relext." localSheetId="5" hidden="1">{#N/A,#N/A,TRUE,"Plan1"}</definedName>
    <definedName name="wrn.relext." localSheetId="0" hidden="1">{#N/A,#N/A,TRUE,"Plan1"}</definedName>
    <definedName name="wrn.relext." hidden="1">{#N/A,#N/A,TRUE,"Plan1"}</definedName>
    <definedName name="ww" localSheetId="3">[7]reg_mec_fx_dm_!#REF!</definedName>
    <definedName name="ww" localSheetId="2">[7]reg_mec_fx_dm_!#REF!</definedName>
    <definedName name="ww">[8]reg_mec_fx_dm_!#REF!</definedName>
    <definedName name="Y" localSheetId="4" hidden="1">{#N/A,#N/A,FALSE,"MO (2)"}</definedName>
    <definedName name="Y" localSheetId="3" hidden="1">{#N/A,#N/A,FALSE,"MO (2)"}</definedName>
    <definedName name="Y" localSheetId="5" hidden="1">{#N/A,#N/A,FALSE,"MO (2)"}</definedName>
    <definedName name="Y" hidden="1">{#N/A,#N/A,FALSE,"MO (2)"}</definedName>
    <definedName name="z" localSheetId="4" hidden="1">{#N/A,#N/A,FALSE,"MO (2)"}</definedName>
    <definedName name="z" localSheetId="3" hidden="1">{#N/A,#N/A,FALSE,"MO (2)"}</definedName>
    <definedName name="z" localSheetId="5" hidden="1">{#N/A,#N/A,FALSE,"MO (2)"}</definedName>
    <definedName name="z" hidden="1">{#N/A,#N/A,FALSE,"MO (2)"}</definedName>
    <definedName name="zaza" localSheetId="4" hidden="1">{#N/A,#N/A,FALSE,"MO (2)"}</definedName>
    <definedName name="zaza" localSheetId="3" hidden="1">{#N/A,#N/A,FALSE,"MO (2)"}</definedName>
    <definedName name="zaza" localSheetId="5" hidden="1">{#N/A,#N/A,FALSE,"MO (2)"}</definedName>
    <definedName name="zaza" hidden="1">{#N/A,#N/A,FALSE,"MO (2)"}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77" i="2" l="1"/>
  <c r="G1976" i="2"/>
  <c r="G1974" i="2"/>
  <c r="G1973" i="2"/>
  <c r="G1972" i="2"/>
  <c r="G1971" i="2"/>
  <c r="G1970" i="2"/>
  <c r="G1969" i="2"/>
  <c r="G1975" i="2"/>
  <c r="G1938" i="2" l="1"/>
  <c r="G1937" i="2"/>
  <c r="G1936" i="2"/>
  <c r="G1935" i="2"/>
  <c r="G1934" i="2"/>
  <c r="G1933" i="2"/>
  <c r="G1932" i="2"/>
  <c r="G1939" i="2" l="1"/>
  <c r="O136" i="1"/>
  <c r="P135" i="1"/>
  <c r="Q135" i="1" s="1"/>
  <c r="P133" i="1"/>
  <c r="P134" i="1"/>
  <c r="P132" i="1"/>
  <c r="O134" i="1"/>
  <c r="Q134" i="1" s="1"/>
  <c r="O132" i="1"/>
  <c r="Q132" i="1" s="1"/>
  <c r="O133" i="1"/>
  <c r="Q129" i="1"/>
  <c r="P131" i="1"/>
  <c r="Q131" i="1" s="1"/>
  <c r="P130" i="1"/>
  <c r="Q130" i="1" s="1"/>
  <c r="P129" i="1"/>
  <c r="Q127" i="1"/>
  <c r="P128" i="1"/>
  <c r="Q128" i="1" s="1"/>
  <c r="P127" i="1"/>
  <c r="P126" i="1"/>
  <c r="Q126" i="1" s="1"/>
  <c r="O125" i="1"/>
  <c r="Q125" i="1" s="1"/>
  <c r="O124" i="1"/>
  <c r="Q124" i="1" s="1"/>
  <c r="O123" i="1"/>
  <c r="Q123" i="1" s="1"/>
  <c r="O122" i="1"/>
  <c r="G1940" i="2" l="1"/>
  <c r="B1941" i="2" s="1"/>
  <c r="B1943" i="2" s="1"/>
  <c r="B1944" i="2" s="1"/>
  <c r="P361" i="1" s="1"/>
  <c r="Q361" i="1" s="1"/>
  <c r="Q133" i="1"/>
  <c r="Y40" i="8"/>
  <c r="W40" i="8"/>
  <c r="E40" i="8" l="1"/>
  <c r="K40" i="8"/>
  <c r="G1914" i="2" l="1"/>
  <c r="G1913" i="2"/>
  <c r="F1910" i="2"/>
  <c r="G1910" i="2" s="1"/>
  <c r="F1909" i="2"/>
  <c r="G1909" i="2" s="1"/>
  <c r="F1912" i="2"/>
  <c r="G1912" i="2" s="1"/>
  <c r="F1911" i="2"/>
  <c r="G1911" i="2" s="1"/>
  <c r="G1917" i="2"/>
  <c r="F384" i="2"/>
  <c r="G384" i="2" s="1"/>
  <c r="F383" i="2"/>
  <c r="G383" i="2" s="1"/>
  <c r="G962" i="7"/>
  <c r="G964" i="7" s="1"/>
  <c r="G961" i="7"/>
  <c r="G963" i="7" s="1"/>
  <c r="G1752" i="7"/>
  <c r="G1751" i="7"/>
  <c r="G385" i="2"/>
  <c r="G482" i="7"/>
  <c r="G484" i="7" s="1"/>
  <c r="F483" i="7"/>
  <c r="G483" i="7" s="1"/>
  <c r="G485" i="7" s="1"/>
  <c r="G1918" i="2" l="1"/>
  <c r="G1919" i="2"/>
  <c r="G965" i="7"/>
  <c r="G486" i="7"/>
  <c r="Q190" i="1"/>
  <c r="Q189" i="1"/>
  <c r="Q188" i="1"/>
  <c r="Q187" i="1"/>
  <c r="Q186" i="1"/>
  <c r="Q182" i="1"/>
  <c r="Q183" i="1"/>
  <c r="Q184" i="1"/>
  <c r="Q185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G1920" i="2" l="1"/>
  <c r="B1921" i="2" s="1"/>
  <c r="B1923" i="2" s="1"/>
  <c r="B1924" i="2" s="1"/>
  <c r="P358" i="1" s="1"/>
  <c r="Q358" i="1" s="1"/>
  <c r="P50" i="1"/>
  <c r="O46" i="1"/>
  <c r="P12" i="1" l="1"/>
  <c r="Q12" i="1" s="1"/>
  <c r="P10" i="1"/>
  <c r="P21" i="1"/>
  <c r="Q21" i="1"/>
  <c r="P20" i="1"/>
  <c r="Q20" i="1" s="1"/>
  <c r="P357" i="1"/>
  <c r="G3262" i="2"/>
  <c r="G3261" i="2"/>
  <c r="G3259" i="2"/>
  <c r="G3267" i="2"/>
  <c r="G3265" i="2"/>
  <c r="G3260" i="2"/>
  <c r="G3263" i="2"/>
  <c r="G3258" i="2"/>
  <c r="N354" i="1"/>
  <c r="P329" i="1"/>
  <c r="P328" i="1"/>
  <c r="Q328" i="1" s="1"/>
  <c r="P327" i="1"/>
  <c r="Q327" i="1" s="1"/>
  <c r="P326" i="1"/>
  <c r="P325" i="1"/>
  <c r="P324" i="1"/>
  <c r="P323" i="1"/>
  <c r="P322" i="1"/>
  <c r="P321" i="1"/>
  <c r="P320" i="1"/>
  <c r="P319" i="1"/>
  <c r="P313" i="1"/>
  <c r="P312" i="1"/>
  <c r="P311" i="1"/>
  <c r="P310" i="1"/>
  <c r="P306" i="1"/>
  <c r="P305" i="1"/>
  <c r="P303" i="1"/>
  <c r="P302" i="1"/>
  <c r="P301" i="1"/>
  <c r="P300" i="1"/>
  <c r="P299" i="1"/>
  <c r="P298" i="1"/>
  <c r="P297" i="1"/>
  <c r="P287" i="1"/>
  <c r="P286" i="1"/>
  <c r="P284" i="1"/>
  <c r="P283" i="1"/>
  <c r="K1029" i="2"/>
  <c r="G1029" i="2"/>
  <c r="G1028" i="2"/>
  <c r="G1027" i="2"/>
  <c r="G1013" i="2"/>
  <c r="K1013" i="2"/>
  <c r="G1012" i="2"/>
  <c r="G1011" i="2"/>
  <c r="P249" i="1"/>
  <c r="Q249" i="1" s="1"/>
  <c r="P247" i="1"/>
  <c r="Q247" i="1" s="1"/>
  <c r="P244" i="1"/>
  <c r="Q244" i="1" s="1"/>
  <c r="P243" i="1"/>
  <c r="Q243" i="1" s="1"/>
  <c r="P242" i="1"/>
  <c r="Q242" i="1" s="1"/>
  <c r="P239" i="1"/>
  <c r="P236" i="1"/>
  <c r="Q236" i="1" s="1"/>
  <c r="P235" i="1"/>
  <c r="P232" i="1"/>
  <c r="Q232" i="1" s="1"/>
  <c r="P231" i="1"/>
  <c r="Q231" i="1" s="1"/>
  <c r="P230" i="1"/>
  <c r="Q230" i="1" s="1"/>
  <c r="P229" i="1"/>
  <c r="P228" i="1"/>
  <c r="P227" i="1"/>
  <c r="P226" i="1"/>
  <c r="G1552" i="2"/>
  <c r="G1551" i="2"/>
  <c r="G906" i="7"/>
  <c r="G900" i="7"/>
  <c r="G899" i="7"/>
  <c r="G898" i="7"/>
  <c r="G1555" i="2"/>
  <c r="G1554" i="2"/>
  <c r="G1553" i="2"/>
  <c r="P213" i="1"/>
  <c r="P212" i="1"/>
  <c r="G3282" i="2"/>
  <c r="G1088" i="2"/>
  <c r="K1087" i="2"/>
  <c r="L1088" i="2" s="1"/>
  <c r="G1087" i="2"/>
  <c r="G1432" i="2"/>
  <c r="G1427" i="2"/>
  <c r="P111" i="1"/>
  <c r="G1411" i="2"/>
  <c r="G1410" i="2"/>
  <c r="G1413" i="2"/>
  <c r="G1412" i="2"/>
  <c r="P110" i="1"/>
  <c r="Q110" i="1" s="1"/>
  <c r="P74" i="1"/>
  <c r="Q74" i="1" s="1"/>
  <c r="P73" i="1"/>
  <c r="Q73" i="1" s="1"/>
  <c r="P68" i="1"/>
  <c r="Q68" i="1" s="1"/>
  <c r="P67" i="1"/>
  <c r="Q67" i="1" s="1"/>
  <c r="G404" i="2"/>
  <c r="G399" i="2"/>
  <c r="Q50" i="1"/>
  <c r="H59" i="4"/>
  <c r="I59" i="4" s="1"/>
  <c r="G3135" i="2"/>
  <c r="G3134" i="2"/>
  <c r="G3133" i="2"/>
  <c r="G3132" i="2"/>
  <c r="G3131" i="2"/>
  <c r="G3130" i="2"/>
  <c r="G3116" i="2"/>
  <c r="G3115" i="2"/>
  <c r="G3114" i="2"/>
  <c r="G3097" i="2"/>
  <c r="G3096" i="2"/>
  <c r="G3059" i="2"/>
  <c r="G3058" i="2"/>
  <c r="G3039" i="2"/>
  <c r="G3038" i="2"/>
  <c r="G3020" i="2"/>
  <c r="G3019" i="2"/>
  <c r="G3000" i="2"/>
  <c r="G2982" i="2"/>
  <c r="G2981" i="2"/>
  <c r="G2931" i="2"/>
  <c r="G2930" i="2"/>
  <c r="G2929" i="2"/>
  <c r="G2928" i="2"/>
  <c r="G2967" i="2"/>
  <c r="G2966" i="2"/>
  <c r="G2965" i="2"/>
  <c r="G2964" i="2"/>
  <c r="G2963" i="2"/>
  <c r="G2952" i="2"/>
  <c r="G2730" i="2"/>
  <c r="G2728" i="2"/>
  <c r="G2731" i="2"/>
  <c r="G2729" i="2"/>
  <c r="G2727" i="2"/>
  <c r="G2628" i="2"/>
  <c r="G2627" i="2"/>
  <c r="G2626" i="2"/>
  <c r="G2625" i="2"/>
  <c r="G2607" i="2"/>
  <c r="G2606" i="2"/>
  <c r="G1611" i="2"/>
  <c r="G1610" i="2"/>
  <c r="G1609" i="2"/>
  <c r="G1255" i="2"/>
  <c r="G1254" i="2"/>
  <c r="G1236" i="2"/>
  <c r="G1235" i="2"/>
  <c r="G1217" i="2"/>
  <c r="G1216" i="2"/>
  <c r="G1198" i="2"/>
  <c r="G1197" i="2"/>
  <c r="G1179" i="2"/>
  <c r="G1178" i="2"/>
  <c r="F1159" i="2"/>
  <c r="G1159" i="2" s="1"/>
  <c r="G1160" i="2"/>
  <c r="G1069" i="2"/>
  <c r="K1068" i="2"/>
  <c r="L1069" i="2" s="1"/>
  <c r="G1068" i="2"/>
  <c r="Q75" i="1" l="1"/>
  <c r="C17" i="8" s="1"/>
  <c r="U17" i="8" s="1"/>
  <c r="Q69" i="1"/>
  <c r="C15" i="8" s="1"/>
  <c r="G1016" i="2"/>
  <c r="G3269" i="2"/>
  <c r="G1032" i="2"/>
  <c r="B1033" i="2" s="1"/>
  <c r="B1035" i="2" s="1"/>
  <c r="B1036" i="2" s="1"/>
  <c r="P251" i="1" s="1"/>
  <c r="Q251" i="1" s="1"/>
  <c r="G3138" i="2"/>
  <c r="G3119" i="2"/>
  <c r="G2934" i="2"/>
  <c r="B2935" i="2" s="1"/>
  <c r="B2937" i="2" s="1"/>
  <c r="B2938" i="2" s="1"/>
  <c r="P268" i="1" s="1"/>
  <c r="G2970" i="2"/>
  <c r="B2971" i="2" s="1"/>
  <c r="B2973" i="2" s="1"/>
  <c r="B2974" i="2" s="1"/>
  <c r="P270" i="1" s="1"/>
  <c r="G2785" i="2"/>
  <c r="G2783" i="2"/>
  <c r="G1141" i="2"/>
  <c r="K1140" i="2"/>
  <c r="L1141" i="2" s="1"/>
  <c r="G1140" i="2"/>
  <c r="G1122" i="2"/>
  <c r="K1121" i="2"/>
  <c r="L1122" i="2" s="1"/>
  <c r="G1121" i="2"/>
  <c r="G1049" i="2"/>
  <c r="G1050" i="2"/>
  <c r="G1048" i="2"/>
  <c r="G1047" i="2"/>
  <c r="G997" i="2"/>
  <c r="K996" i="2"/>
  <c r="L997" i="2" s="1"/>
  <c r="G996" i="2"/>
  <c r="G978" i="2"/>
  <c r="K977" i="2"/>
  <c r="L978" i="2" s="1"/>
  <c r="G977" i="2"/>
  <c r="G850" i="2"/>
  <c r="G849" i="2"/>
  <c r="O17" i="8" l="1"/>
  <c r="O15" i="8"/>
  <c r="B1017" i="2"/>
  <c r="B1019" i="2" s="1"/>
  <c r="B1020" i="2" s="1"/>
  <c r="P250" i="1" s="1"/>
  <c r="Q250" i="1" s="1"/>
  <c r="B3139" i="2"/>
  <c r="B3141" i="2" s="1"/>
  <c r="B3142" i="2" s="1"/>
  <c r="P282" i="1" s="1"/>
  <c r="G3137" i="2"/>
  <c r="B3120" i="2"/>
  <c r="B3122" i="2" s="1"/>
  <c r="B3123" i="2" s="1"/>
  <c r="G916" i="2"/>
  <c r="G915" i="2"/>
  <c r="G914" i="2"/>
  <c r="G913" i="2"/>
  <c r="G735" i="2"/>
  <c r="G734" i="2"/>
  <c r="G918" i="2" l="1"/>
  <c r="G26" i="2" l="1"/>
  <c r="G25" i="2"/>
  <c r="G24" i="2"/>
  <c r="G23" i="2"/>
  <c r="G22" i="2"/>
  <c r="G21" i="2"/>
  <c r="G20" i="2"/>
  <c r="G19" i="2"/>
  <c r="G18" i="2"/>
  <c r="G17" i="2"/>
  <c r="G112" i="2" l="1"/>
  <c r="G114" i="2" s="1"/>
  <c r="G115" i="2" s="1"/>
  <c r="B116" i="2" s="1"/>
  <c r="G97" i="2"/>
  <c r="G99" i="2" s="1"/>
  <c r="G100" i="2" s="1"/>
  <c r="B101" i="2" s="1"/>
  <c r="F516" i="7"/>
  <c r="G29" i="7"/>
  <c r="G30" i="7"/>
  <c r="G31" i="7"/>
  <c r="G32" i="7"/>
  <c r="G33" i="7"/>
  <c r="G34" i="7"/>
  <c r="G35" i="7"/>
  <c r="G8" i="7"/>
  <c r="G2190" i="2"/>
  <c r="G2185" i="2"/>
  <c r="G2179" i="2"/>
  <c r="G2172" i="2"/>
  <c r="G2173" i="2"/>
  <c r="G2171" i="2"/>
  <c r="E2191" i="2"/>
  <c r="G2191" i="2" s="1"/>
  <c r="E2186" i="2"/>
  <c r="E2188" i="2"/>
  <c r="E2180" i="2"/>
  <c r="E2182" i="2"/>
  <c r="E2184" i="2"/>
  <c r="G2184" i="2" s="1"/>
  <c r="E2176" i="2"/>
  <c r="E2174" i="2"/>
  <c r="E2178" i="2"/>
  <c r="G2178" i="2" s="1"/>
  <c r="B118" i="2" l="1"/>
  <c r="B119" i="2" s="1"/>
  <c r="B103" i="2"/>
  <c r="B104" i="2" s="1"/>
  <c r="G1882" i="7"/>
  <c r="G1881" i="7"/>
  <c r="G1880" i="7"/>
  <c r="G1879" i="7"/>
  <c r="G1878" i="7"/>
  <c r="G1877" i="7"/>
  <c r="G1867" i="7"/>
  <c r="G1866" i="7"/>
  <c r="G1865" i="7"/>
  <c r="G1864" i="7"/>
  <c r="G1863" i="7"/>
  <c r="G1907" i="7"/>
  <c r="G1906" i="7"/>
  <c r="G1853" i="7"/>
  <c r="G1852" i="7"/>
  <c r="G1851" i="7"/>
  <c r="G1850" i="7"/>
  <c r="G1849" i="7"/>
  <c r="G1835" i="7"/>
  <c r="G1821" i="7"/>
  <c r="P225" i="1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63" i="2"/>
  <c r="G1762" i="2"/>
  <c r="G1761" i="2"/>
  <c r="G1760" i="2"/>
  <c r="G1759" i="2"/>
  <c r="G1758" i="2"/>
  <c r="G1757" i="2"/>
  <c r="G1756" i="2"/>
  <c r="G1755" i="2"/>
  <c r="G1754" i="2"/>
  <c r="G1753" i="2"/>
  <c r="G1731" i="2"/>
  <c r="G1730" i="2"/>
  <c r="G1729" i="2"/>
  <c r="G1728" i="2"/>
  <c r="G1727" i="2"/>
  <c r="G1724" i="2"/>
  <c r="G1723" i="2"/>
  <c r="G1699" i="2"/>
  <c r="G1698" i="2"/>
  <c r="G1697" i="2"/>
  <c r="G1696" i="2"/>
  <c r="G1695" i="2"/>
  <c r="G1868" i="7" l="1"/>
  <c r="G1884" i="7"/>
  <c r="G1883" i="7"/>
  <c r="G1869" i="7"/>
  <c r="G1854" i="7"/>
  <c r="G1855" i="7"/>
  <c r="G1860" i="2"/>
  <c r="G1861" i="2"/>
  <c r="G1828" i="2"/>
  <c r="G1829" i="2"/>
  <c r="G1796" i="2"/>
  <c r="G1797" i="2"/>
  <c r="G1870" i="7" l="1"/>
  <c r="P246" i="1" s="1"/>
  <c r="Q246" i="1" s="1"/>
  <c r="G1885" i="7"/>
  <c r="P254" i="1" s="1"/>
  <c r="Q254" i="1" s="1"/>
  <c r="G1862" i="2"/>
  <c r="B1863" i="2" s="1"/>
  <c r="B1865" i="2" s="1"/>
  <c r="B1866" i="2" s="1"/>
  <c r="P224" i="1" s="1"/>
  <c r="G1856" i="7"/>
  <c r="P248" i="1" s="1"/>
  <c r="Q248" i="1" s="1"/>
  <c r="G1830" i="2"/>
  <c r="B1831" i="2" s="1"/>
  <c r="B1833" i="2" s="1"/>
  <c r="B1834" i="2" s="1"/>
  <c r="P223" i="1" s="1"/>
  <c r="G1798" i="2"/>
  <c r="B1799" i="2" s="1"/>
  <c r="B1801" i="2" s="1"/>
  <c r="B1802" i="2" s="1"/>
  <c r="P222" i="1" s="1"/>
  <c r="G1670" i="2" l="1"/>
  <c r="G1669" i="2"/>
  <c r="G1668" i="2"/>
  <c r="G1667" i="2"/>
  <c r="G1671" i="2"/>
  <c r="G1643" i="2" l="1"/>
  <c r="G1642" i="2"/>
  <c r="G1641" i="2"/>
  <c r="G1640" i="2"/>
  <c r="G1639" i="2"/>
  <c r="G1636" i="2"/>
  <c r="G1635" i="2"/>
  <c r="G1632" i="2"/>
  <c r="G1631" i="2"/>
  <c r="G1630" i="2"/>
  <c r="G1629" i="2"/>
  <c r="G1583" i="2"/>
  <c r="G1582" i="2"/>
  <c r="G1581" i="2"/>
  <c r="G1722" i="7"/>
  <c r="G1724" i="7" s="1"/>
  <c r="F1580" i="2" s="1"/>
  <c r="G1580" i="2" s="1"/>
  <c r="G1721" i="7"/>
  <c r="G1723" i="7" s="1"/>
  <c r="F1579" i="2" s="1"/>
  <c r="G1579" i="2" s="1"/>
  <c r="G2413" i="2"/>
  <c r="G2412" i="2"/>
  <c r="G1725" i="7" l="1"/>
  <c r="G732" i="2" l="1"/>
  <c r="G731" i="2"/>
  <c r="G733" i="2" l="1"/>
  <c r="G730" i="2"/>
  <c r="G951" i="7" l="1"/>
  <c r="F352" i="2" s="1"/>
  <c r="G352" i="2" s="1"/>
  <c r="G950" i="7"/>
  <c r="F351" i="2" s="1"/>
  <c r="G351" i="2" s="1"/>
  <c r="G1736" i="7"/>
  <c r="G1737" i="7"/>
  <c r="G1710" i="7"/>
  <c r="G1709" i="7"/>
  <c r="G1707" i="7"/>
  <c r="G1694" i="7"/>
  <c r="G1695" i="7"/>
  <c r="F1601" i="2" s="1"/>
  <c r="G1601" i="2" s="1"/>
  <c r="G1231" i="7"/>
  <c r="G1230" i="7"/>
  <c r="G1692" i="7"/>
  <c r="G496" i="7"/>
  <c r="G495" i="7"/>
  <c r="G468" i="7"/>
  <c r="G469" i="7"/>
  <c r="G470" i="7"/>
  <c r="G471" i="7"/>
  <c r="G455" i="7"/>
  <c r="G454" i="7"/>
  <c r="G453" i="7"/>
  <c r="G452" i="7"/>
  <c r="G451" i="7"/>
  <c r="G450" i="7"/>
  <c r="G449" i="7"/>
  <c r="F656" i="7"/>
  <c r="G656" i="7" s="1"/>
  <c r="G2268" i="7"/>
  <c r="G2269" i="7"/>
  <c r="G2267" i="7"/>
  <c r="G2266" i="7"/>
  <c r="F2265" i="7"/>
  <c r="G2265" i="7" s="1"/>
  <c r="G103" i="7"/>
  <c r="G101" i="7"/>
  <c r="G100" i="7"/>
  <c r="G99" i="7"/>
  <c r="G98" i="7"/>
  <c r="G97" i="7"/>
  <c r="G96" i="7"/>
  <c r="G952" i="7" l="1"/>
  <c r="G953" i="7"/>
  <c r="G1233" i="7"/>
  <c r="G1234" i="7" s="1"/>
  <c r="F888" i="7" s="1"/>
  <c r="G458" i="7"/>
  <c r="G657" i="7"/>
  <c r="G659" i="7" s="1"/>
  <c r="G2271" i="7"/>
  <c r="G104" i="7"/>
  <c r="F375" i="2" l="1"/>
  <c r="G375" i="2" s="1"/>
  <c r="F1749" i="7"/>
  <c r="F2602" i="2"/>
  <c r="G2602" i="2" s="1"/>
  <c r="F3100" i="2"/>
  <c r="G3100" i="2" s="1"/>
  <c r="F3042" i="2"/>
  <c r="G3042" i="2" s="1"/>
  <c r="F1541" i="2"/>
  <c r="G1541" i="2" s="1"/>
  <c r="F3023" i="2"/>
  <c r="G3023" i="2" s="1"/>
  <c r="F1430" i="2"/>
  <c r="G1430" i="2" s="1"/>
  <c r="F402" i="2"/>
  <c r="G402" i="2" s="1"/>
  <c r="F1408" i="2"/>
  <c r="G1408" i="2" s="1"/>
  <c r="F3062" i="2"/>
  <c r="G3062" i="2" s="1"/>
  <c r="F2621" i="2"/>
  <c r="G2621" i="2" s="1"/>
  <c r="F1597" i="2"/>
  <c r="G1597" i="2" s="1"/>
  <c r="F911" i="2"/>
  <c r="G911" i="2" s="1"/>
  <c r="F13" i="2"/>
  <c r="G13" i="2" s="1"/>
  <c r="F2182" i="2"/>
  <c r="G2182" i="2" s="1"/>
  <c r="F2188" i="2"/>
  <c r="G2188" i="2" s="1"/>
  <c r="F2169" i="2"/>
  <c r="G2169" i="2" s="1"/>
  <c r="F2176" i="2"/>
  <c r="G2176" i="2" s="1"/>
  <c r="F1713" i="2"/>
  <c r="G1713" i="2" s="1"/>
  <c r="F1745" i="2"/>
  <c r="G1745" i="2" s="1"/>
  <c r="F1685" i="2"/>
  <c r="G1685" i="2" s="1"/>
  <c r="F1625" i="2"/>
  <c r="G1625" i="2" s="1"/>
  <c r="F1569" i="2"/>
  <c r="G1569" i="2" s="1"/>
  <c r="F705" i="2"/>
  <c r="G954" i="7"/>
  <c r="F901" i="7"/>
  <c r="G901" i="7" s="1"/>
  <c r="F1734" i="7"/>
  <c r="G1734" i="7" s="1"/>
  <c r="F246" i="2"/>
  <c r="F343" i="2"/>
  <c r="G343" i="2" s="1"/>
  <c r="F1693" i="7"/>
  <c r="G1693" i="7" s="1"/>
  <c r="F1708" i="7"/>
  <c r="G1708" i="7" s="1"/>
  <c r="F467" i="7"/>
  <c r="G467" i="7" s="1"/>
  <c r="G473" i="7" s="1"/>
  <c r="F368" i="2" s="1"/>
  <c r="G368" i="2" s="1"/>
  <c r="F494" i="7"/>
  <c r="F182" i="2"/>
  <c r="F216" i="2"/>
  <c r="F199" i="2"/>
  <c r="F336" i="2" l="1"/>
  <c r="G336" i="2" s="1"/>
  <c r="F1750" i="2"/>
  <c r="G1750" i="2" s="1"/>
  <c r="F1718" i="2"/>
  <c r="G1718" i="2" s="1"/>
  <c r="C370" i="1"/>
  <c r="F2707" i="2" l="1"/>
  <c r="G2707" i="2" s="1"/>
  <c r="F2691" i="2"/>
  <c r="G2691" i="2" l="1"/>
  <c r="G1273" i="2" l="1"/>
  <c r="Q28" i="1" l="1"/>
  <c r="H60" i="4" l="1"/>
  <c r="I60" i="4" s="1"/>
  <c r="E43" i="1"/>
  <c r="N19" i="1"/>
  <c r="Q298" i="1"/>
  <c r="G2051" i="2" l="1"/>
  <c r="H98" i="1"/>
  <c r="E98" i="1"/>
  <c r="G2014" i="2"/>
  <c r="G2013" i="2"/>
  <c r="G2012" i="2"/>
  <c r="G2011" i="2"/>
  <c r="H101" i="1"/>
  <c r="G101" i="1"/>
  <c r="E101" i="1"/>
  <c r="G2153" i="2"/>
  <c r="G2135" i="2"/>
  <c r="N306" i="1"/>
  <c r="N308" i="1" s="1"/>
  <c r="J76" i="1"/>
  <c r="G109" i="1"/>
  <c r="H109" i="1"/>
  <c r="E109" i="1"/>
  <c r="E110" i="1"/>
  <c r="Q306" i="1" l="1"/>
  <c r="N309" i="1"/>
  <c r="H67" i="1"/>
  <c r="M49" i="1"/>
  <c r="I49" i="1"/>
  <c r="K49" i="1"/>
  <c r="J49" i="1"/>
  <c r="H49" i="1"/>
  <c r="E49" i="1"/>
  <c r="K934" i="2" l="1"/>
  <c r="L935" i="2" s="1"/>
  <c r="H52" i="4" l="1"/>
  <c r="I52" i="4" s="1"/>
  <c r="N113" i="1" l="1"/>
  <c r="N41" i="1"/>
  <c r="E42" i="1"/>
  <c r="M91" i="1"/>
  <c r="K91" i="1"/>
  <c r="J91" i="1"/>
  <c r="M90" i="1"/>
  <c r="K90" i="1"/>
  <c r="J90" i="1"/>
  <c r="L760" i="2"/>
  <c r="J760" i="2" s="1"/>
  <c r="G776" i="2"/>
  <c r="G775" i="2"/>
  <c r="L759" i="2"/>
  <c r="G756" i="2"/>
  <c r="G755" i="2"/>
  <c r="G757" i="2"/>
  <c r="M112" i="1"/>
  <c r="G1311" i="2"/>
  <c r="G1310" i="2"/>
  <c r="M760" i="2" l="1"/>
  <c r="G1330" i="2" l="1"/>
  <c r="G1329" i="2"/>
  <c r="G506" i="7"/>
  <c r="G507" i="7" s="1"/>
  <c r="G509" i="7" s="1"/>
  <c r="G422" i="7" s="1"/>
  <c r="G415" i="7"/>
  <c r="G420" i="7"/>
  <c r="G419" i="7"/>
  <c r="G418" i="7"/>
  <c r="G417" i="7"/>
  <c r="G416" i="7"/>
  <c r="G1292" i="2"/>
  <c r="G1291" i="2"/>
  <c r="G423" i="7" l="1"/>
  <c r="F1308" i="2" l="1"/>
  <c r="G1308" i="2" s="1"/>
  <c r="F1327" i="2"/>
  <c r="G1327" i="2" s="1"/>
  <c r="F1289" i="2"/>
  <c r="G1289" i="2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P25" i="1"/>
  <c r="N12" i="1"/>
  <c r="J266" i="2"/>
  <c r="G936" i="2"/>
  <c r="G937" i="2"/>
  <c r="G935" i="2"/>
  <c r="G939" i="2"/>
  <c r="G938" i="2"/>
  <c r="G934" i="2"/>
  <c r="L265" i="2"/>
  <c r="G958" i="2" l="1"/>
  <c r="G957" i="2"/>
  <c r="Q25" i="1" l="1"/>
  <c r="H51" i="4"/>
  <c r="I51" i="4" s="1"/>
  <c r="G11" i="4"/>
  <c r="H11" i="4" s="1"/>
  <c r="I11" i="4" s="1"/>
  <c r="G12" i="4"/>
  <c r="H12" i="4" s="1"/>
  <c r="I12" i="4" s="1"/>
  <c r="G13" i="4"/>
  <c r="H13" i="4" s="1"/>
  <c r="I13" i="4" s="1"/>
  <c r="G14" i="4"/>
  <c r="H14" i="4" s="1"/>
  <c r="I14" i="4" s="1"/>
  <c r="G15" i="4"/>
  <c r="H15" i="4" s="1"/>
  <c r="I15" i="4" s="1"/>
  <c r="G16" i="4"/>
  <c r="H16" i="4" s="1"/>
  <c r="I16" i="4" s="1"/>
  <c r="G17" i="4"/>
  <c r="H17" i="4" s="1"/>
  <c r="I17" i="4" s="1"/>
  <c r="G18" i="4"/>
  <c r="H18" i="4" s="1"/>
  <c r="I18" i="4" s="1"/>
  <c r="I61" i="4" l="1"/>
  <c r="I62" i="4" s="1"/>
  <c r="I63" i="4" l="1"/>
  <c r="I64" i="4" s="1"/>
  <c r="H330" i="1"/>
  <c r="H329" i="1"/>
  <c r="F2882" i="2"/>
  <c r="E2864" i="2"/>
  <c r="I65" i="4" l="1"/>
  <c r="I66" i="4" s="1"/>
  <c r="P26" i="1" s="1"/>
  <c r="P330" i="1"/>
  <c r="E273" i="1"/>
  <c r="P41" i="1"/>
  <c r="L17" i="4"/>
  <c r="M17" i="4" s="1"/>
  <c r="N17" i="4" s="1"/>
  <c r="O17" i="4" s="1"/>
  <c r="L16" i="4"/>
  <c r="M16" i="4" s="1"/>
  <c r="N16" i="4" s="1"/>
  <c r="O16" i="4" s="1"/>
  <c r="H35" i="4"/>
  <c r="I35" i="4" s="1"/>
  <c r="D38" i="4"/>
  <c r="F830" i="2"/>
  <c r="F812" i="2"/>
  <c r="Q41" i="1" l="1"/>
  <c r="Q26" i="1"/>
  <c r="H326" i="1"/>
  <c r="H325" i="1"/>
  <c r="H324" i="1"/>
  <c r="H323" i="1"/>
  <c r="H322" i="1"/>
  <c r="H321" i="1"/>
  <c r="H320" i="1"/>
  <c r="H319" i="1"/>
  <c r="G2828" i="2"/>
  <c r="G2827" i="2"/>
  <c r="K159" i="2" l="1"/>
  <c r="F556" i="7"/>
  <c r="G556" i="7" s="1"/>
  <c r="G557" i="7" s="1"/>
  <c r="G559" i="7" s="1"/>
  <c r="G62" i="7"/>
  <c r="G66" i="7"/>
  <c r="G65" i="7"/>
  <c r="G64" i="7"/>
  <c r="G63" i="7"/>
  <c r="G2763" i="2"/>
  <c r="G2764" i="2"/>
  <c r="G2762" i="2"/>
  <c r="K2879" i="2"/>
  <c r="K2878" i="2"/>
  <c r="E266" i="1"/>
  <c r="E267" i="1"/>
  <c r="G2250" i="7"/>
  <c r="G2249" i="7"/>
  <c r="G2235" i="7"/>
  <c r="G2234" i="7"/>
  <c r="G2220" i="7"/>
  <c r="G2219" i="7"/>
  <c r="M2863" i="2"/>
  <c r="G2891" i="2"/>
  <c r="G2890" i="2"/>
  <c r="G162" i="2" l="1"/>
  <c r="G161" i="2"/>
  <c r="G160" i="2"/>
  <c r="B22" i="5" l="1"/>
  <c r="B18" i="5"/>
  <c r="B16" i="5"/>
  <c r="B14" i="5"/>
  <c r="B12" i="5"/>
  <c r="B10" i="5"/>
  <c r="A22" i="5" l="1"/>
  <c r="A16" i="5"/>
  <c r="A14" i="5"/>
  <c r="A12" i="5"/>
  <c r="A10" i="5"/>
  <c r="Q311" i="1"/>
  <c r="Q312" i="1"/>
  <c r="Q310" i="1"/>
  <c r="N304" i="1"/>
  <c r="Q305" i="1"/>
  <c r="Q303" i="1"/>
  <c r="Q302" i="1"/>
  <c r="Q301" i="1"/>
  <c r="Q300" i="1"/>
  <c r="Q299" i="1"/>
  <c r="Q297" i="1"/>
  <c r="Q154" i="1"/>
  <c r="Q153" i="1"/>
  <c r="Q151" i="1"/>
  <c r="Q149" i="1"/>
  <c r="Q148" i="1"/>
  <c r="Q145" i="1"/>
  <c r="Q139" i="1"/>
  <c r="Q138" i="1"/>
  <c r="Q137" i="1"/>
  <c r="Q122" i="1"/>
  <c r="Q141" i="1" l="1"/>
  <c r="G3244" i="2" l="1"/>
  <c r="G3243" i="2"/>
  <c r="G3242" i="2"/>
  <c r="G3241" i="2"/>
  <c r="G3153" i="2"/>
  <c r="G3155" i="2"/>
  <c r="G3156" i="2"/>
  <c r="G3154" i="2"/>
  <c r="G2588" i="2"/>
  <c r="G2570" i="2"/>
  <c r="G2552" i="2"/>
  <c r="G2534" i="2"/>
  <c r="G2518" i="2"/>
  <c r="E2500" i="2"/>
  <c r="E2496" i="2"/>
  <c r="E2498" i="2"/>
  <c r="G2502" i="2"/>
  <c r="G779" i="7"/>
  <c r="G780" i="7" s="1"/>
  <c r="G782" i="7" s="1"/>
  <c r="F769" i="7" s="1"/>
  <c r="G766" i="7"/>
  <c r="G765" i="7"/>
  <c r="G764" i="7"/>
  <c r="G763" i="7"/>
  <c r="G762" i="7"/>
  <c r="F1583" i="7"/>
  <c r="F1573" i="7"/>
  <c r="F1563" i="7"/>
  <c r="F1553" i="7"/>
  <c r="F1543" i="7"/>
  <c r="F1533" i="7"/>
  <c r="F1151" i="7"/>
  <c r="F1141" i="7"/>
  <c r="F999" i="7"/>
  <c r="F989" i="7"/>
  <c r="F799" i="7"/>
  <c r="F789" i="7"/>
  <c r="F646" i="7"/>
  <c r="F636" i="7"/>
  <c r="F626" i="7"/>
  <c r="F616" i="7"/>
  <c r="F606" i="7"/>
  <c r="F596" i="7"/>
  <c r="F586" i="7"/>
  <c r="F576" i="7"/>
  <c r="F566" i="7"/>
  <c r="F546" i="7"/>
  <c r="F536" i="7"/>
  <c r="F526" i="7"/>
  <c r="G3246" i="2" l="1"/>
  <c r="G2365" i="2"/>
  <c r="G1993" i="2"/>
  <c r="G2115" i="2"/>
  <c r="G2099" i="2"/>
  <c r="G2098" i="2"/>
  <c r="G2097" i="2"/>
  <c r="G2096" i="2"/>
  <c r="G3304" i="2"/>
  <c r="G3286" i="2"/>
  <c r="G3285" i="2"/>
  <c r="G3283" i="2"/>
  <c r="G3281" i="2"/>
  <c r="G3078" i="2"/>
  <c r="G3077" i="2"/>
  <c r="G2076" i="2"/>
  <c r="G2077" i="2"/>
  <c r="G2078" i="2"/>
  <c r="G2075" i="2"/>
  <c r="G2033" i="2"/>
  <c r="G2032" i="2"/>
  <c r="G1955" i="2"/>
  <c r="G1895" i="2"/>
  <c r="G1877" i="2"/>
  <c r="G1677" i="7"/>
  <c r="G1676" i="7"/>
  <c r="G1663" i="7"/>
  <c r="G1664" i="7"/>
  <c r="G1662" i="7"/>
  <c r="G1468" i="2"/>
  <c r="G1467" i="2"/>
  <c r="G1466" i="2"/>
  <c r="G1391" i="2"/>
  <c r="G1392" i="2"/>
  <c r="G583" i="2"/>
  <c r="G582" i="2"/>
  <c r="G651" i="2"/>
  <c r="G650" i="2"/>
  <c r="G649" i="2"/>
  <c r="G648" i="2"/>
  <c r="G647" i="2"/>
  <c r="G498" i="2"/>
  <c r="E210" i="1" l="1"/>
  <c r="Q160" i="1"/>
  <c r="G526" i="7"/>
  <c r="G527" i="7" s="1"/>
  <c r="G529" i="7" s="1"/>
  <c r="G262" i="7"/>
  <c r="G266" i="7"/>
  <c r="G265" i="7"/>
  <c r="G264" i="7"/>
  <c r="G263" i="7"/>
  <c r="G516" i="7"/>
  <c r="G517" i="7" s="1"/>
  <c r="G519" i="7" s="1"/>
  <c r="G296" i="7"/>
  <c r="G300" i="7"/>
  <c r="G299" i="7"/>
  <c r="G1838" i="7" s="1"/>
  <c r="G298" i="7"/>
  <c r="G297" i="7"/>
  <c r="G263" i="2"/>
  <c r="G264" i="2"/>
  <c r="G265" i="2"/>
  <c r="G266" i="2"/>
  <c r="G1839" i="7" l="1"/>
  <c r="E1448" i="2"/>
  <c r="E1446" i="2"/>
  <c r="E139" i="1"/>
  <c r="G890" i="2"/>
  <c r="L18" i="4"/>
  <c r="M18" i="4" s="1"/>
  <c r="N18" i="4" s="1"/>
  <c r="O18" i="4" s="1"/>
  <c r="E236" i="1"/>
  <c r="H111" i="1" l="1"/>
  <c r="G111" i="1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42" i="2"/>
  <c r="Q10" i="1"/>
  <c r="N16" i="1"/>
  <c r="H237" i="1" l="1"/>
  <c r="H239" i="1" l="1"/>
  <c r="H238" i="1"/>
  <c r="E237" i="1"/>
  <c r="N345" i="1"/>
  <c r="H241" i="1" l="1"/>
  <c r="E239" i="1"/>
  <c r="Q239" i="1" s="1"/>
  <c r="H240" i="1"/>
  <c r="E241" i="1" l="1"/>
  <c r="E238" i="1"/>
  <c r="E240" i="1"/>
  <c r="G566" i="2"/>
  <c r="G548" i="2"/>
  <c r="G789" i="7"/>
  <c r="G790" i="7" s="1"/>
  <c r="G745" i="7"/>
  <c r="G749" i="7"/>
  <c r="G748" i="7"/>
  <c r="G747" i="7"/>
  <c r="G746" i="7"/>
  <c r="G530" i="2"/>
  <c r="G514" i="2"/>
  <c r="G435" i="2"/>
  <c r="G792" i="7" l="1"/>
  <c r="G752" i="7" s="1"/>
  <c r="G753" i="7" s="1"/>
  <c r="F531" i="2" s="1"/>
  <c r="G531" i="2" s="1"/>
  <c r="E86" i="1"/>
  <c r="E85" i="1"/>
  <c r="E67" i="1"/>
  <c r="E196" i="1"/>
  <c r="E193" i="1"/>
  <c r="Q224" i="1"/>
  <c r="Q223" i="1"/>
  <c r="Q222" i="1"/>
  <c r="Q159" i="1"/>
  <c r="Q227" i="1" l="1"/>
  <c r="Q228" i="1"/>
  <c r="Q212" i="1"/>
  <c r="Q225" i="1"/>
  <c r="Q226" i="1"/>
  <c r="Q229" i="1"/>
  <c r="H193" i="1"/>
  <c r="Q155" i="1"/>
  <c r="Q156" i="1"/>
  <c r="Q157" i="1"/>
  <c r="Q158" i="1"/>
  <c r="Q146" i="1"/>
  <c r="Q147" i="1"/>
  <c r="Q150" i="1"/>
  <c r="Q152" i="1"/>
  <c r="Q136" i="1"/>
  <c r="N55" i="1" l="1"/>
  <c r="N57" i="1"/>
  <c r="N53" i="1"/>
  <c r="N54" i="1"/>
  <c r="N56" i="1"/>
  <c r="N59" i="1" l="1"/>
  <c r="N58" i="1"/>
  <c r="N60" i="1"/>
  <c r="E112" i="1"/>
  <c r="G2205" i="7"/>
  <c r="G2204" i="7"/>
  <c r="G2203" i="7"/>
  <c r="G2202" i="7"/>
  <c r="G2675" i="2"/>
  <c r="G2809" i="2"/>
  <c r="G2808" i="2"/>
  <c r="G2807" i="2"/>
  <c r="G2806" i="2"/>
  <c r="G2805" i="2"/>
  <c r="G2804" i="2"/>
  <c r="G2803" i="2"/>
  <c r="E259" i="1" l="1"/>
  <c r="E257" i="1"/>
  <c r="G868" i="2" l="1"/>
  <c r="G867" i="2"/>
  <c r="G866" i="2"/>
  <c r="G865" i="2"/>
  <c r="G864" i="2"/>
  <c r="G729" i="2"/>
  <c r="G794" i="2"/>
  <c r="G830" i="2"/>
  <c r="G812" i="2"/>
  <c r="G87" i="1"/>
  <c r="E87" i="1"/>
  <c r="H89" i="1" l="1"/>
  <c r="G89" i="1"/>
  <c r="E88" i="1"/>
  <c r="G88" i="1"/>
  <c r="H88" i="1"/>
  <c r="H87" i="1" l="1"/>
  <c r="E89" i="1"/>
  <c r="Q330" i="1" l="1"/>
  <c r="Q329" i="1"/>
  <c r="Q326" i="1"/>
  <c r="Q213" i="1" l="1"/>
  <c r="Q144" i="1"/>
  <c r="Q286" i="1"/>
  <c r="Q268" i="1"/>
  <c r="Q313" i="1"/>
  <c r="Q325" i="1"/>
  <c r="Q324" i="1"/>
  <c r="Q323" i="1"/>
  <c r="Q322" i="1"/>
  <c r="Q321" i="1"/>
  <c r="Q320" i="1"/>
  <c r="Q319" i="1"/>
  <c r="Q331" i="1" s="1"/>
  <c r="C34" i="8" s="1"/>
  <c r="O34" i="8" s="1"/>
  <c r="N344" i="1" l="1"/>
  <c r="N339" i="1"/>
  <c r="N338" i="1"/>
  <c r="N337" i="1"/>
  <c r="N342" i="1" l="1"/>
  <c r="N343" i="1"/>
  <c r="N334" i="1" l="1"/>
  <c r="Q357" i="1"/>
  <c r="E287" i="1"/>
  <c r="H287" i="1"/>
  <c r="G112" i="1"/>
  <c r="H80" i="1"/>
  <c r="E111" i="1" l="1"/>
  <c r="Q111" i="1" s="1"/>
  <c r="N356" i="1"/>
  <c r="H112" i="1"/>
  <c r="Q287" i="1"/>
  <c r="N333" i="1"/>
  <c r="E281" i="1"/>
  <c r="H279" i="1"/>
  <c r="E280" i="1"/>
  <c r="H270" i="1"/>
  <c r="H260" i="1"/>
  <c r="E258" i="1"/>
  <c r="E283" i="1"/>
  <c r="Q283" i="1" s="1"/>
  <c r="E282" i="1"/>
  <c r="Q282" i="1" s="1"/>
  <c r="E274" i="1"/>
  <c r="E272" i="1"/>
  <c r="E269" i="1"/>
  <c r="E271" i="1"/>
  <c r="G3001" i="2"/>
  <c r="J2863" i="2"/>
  <c r="G536" i="7"/>
  <c r="G537" i="7" s="1"/>
  <c r="G539" i="7" s="1"/>
  <c r="G398" i="7"/>
  <c r="G402" i="7"/>
  <c r="G401" i="7"/>
  <c r="G400" i="7"/>
  <c r="G399" i="7"/>
  <c r="G2846" i="2"/>
  <c r="M2875" i="2" l="1"/>
  <c r="M2865" i="2"/>
  <c r="M2867" i="2"/>
  <c r="M2873" i="2"/>
  <c r="M2864" i="2"/>
  <c r="M2868" i="2"/>
  <c r="M2866" i="2"/>
  <c r="K2865" i="2"/>
  <c r="K2866" i="2"/>
  <c r="K2875" i="2"/>
  <c r="Q284" i="1"/>
  <c r="Q270" i="1"/>
  <c r="N335" i="1"/>
  <c r="N336" i="1"/>
  <c r="K2867" i="2"/>
  <c r="K2873" i="2"/>
  <c r="K2868" i="2"/>
  <c r="G566" i="7"/>
  <c r="G567" i="7" s="1"/>
  <c r="G569" i="7" s="1"/>
  <c r="G381" i="7"/>
  <c r="G385" i="7"/>
  <c r="G384" i="7"/>
  <c r="G383" i="7"/>
  <c r="G382" i="7"/>
  <c r="G1448" i="2"/>
  <c r="G882" i="7"/>
  <c r="G881" i="7"/>
  <c r="G880" i="7"/>
  <c r="G1351" i="2"/>
  <c r="G1352" i="2"/>
  <c r="G1350" i="2"/>
  <c r="G1189" i="7"/>
  <c r="Q235" i="1"/>
  <c r="Q24" i="1" l="1"/>
  <c r="E108" i="1" l="1"/>
  <c r="G107" i="1"/>
  <c r="J112" i="1"/>
  <c r="G2188" i="7"/>
  <c r="G2187" i="7"/>
  <c r="G2186" i="7"/>
  <c r="G2185" i="7"/>
  <c r="G2169" i="7"/>
  <c r="G2170" i="7"/>
  <c r="G2171" i="7"/>
  <c r="G2168" i="7"/>
  <c r="G2154" i="7"/>
  <c r="G2153" i="7"/>
  <c r="G1373" i="2"/>
  <c r="G1372" i="2"/>
  <c r="G1419" i="7"/>
  <c r="G1421" i="7" s="1"/>
  <c r="G1422" i="7" s="1"/>
  <c r="G1366" i="7" s="1"/>
  <c r="G1409" i="7"/>
  <c r="G1411" i="7" s="1"/>
  <c r="G1412" i="7" s="1"/>
  <c r="G1399" i="7"/>
  <c r="G1401" i="7" s="1"/>
  <c r="G1402" i="7" s="1"/>
  <c r="G1364" i="7" s="1"/>
  <c r="G1389" i="7"/>
  <c r="G1391" i="7" s="1"/>
  <c r="G1392" i="7" s="1"/>
  <c r="G1363" i="7" s="1"/>
  <c r="G989" i="7"/>
  <c r="G990" i="7" s="1"/>
  <c r="G992" i="7" s="1"/>
  <c r="F979" i="7" s="1"/>
  <c r="G979" i="7" s="1"/>
  <c r="G972" i="7"/>
  <c r="G976" i="7"/>
  <c r="G975" i="7"/>
  <c r="G974" i="7"/>
  <c r="G973" i="7"/>
  <c r="G1345" i="7"/>
  <c r="G646" i="7"/>
  <c r="G647" i="7" s="1"/>
  <c r="G649" i="7" s="1"/>
  <c r="G439" i="7" s="1"/>
  <c r="G432" i="7"/>
  <c r="G436" i="7"/>
  <c r="G435" i="7"/>
  <c r="G434" i="7"/>
  <c r="G433" i="7"/>
  <c r="G709" i="2"/>
  <c r="H107" i="1" l="1"/>
  <c r="H108" i="1"/>
  <c r="K112" i="1"/>
  <c r="E107" i="1"/>
  <c r="G1378" i="7"/>
  <c r="G1379" i="7"/>
  <c r="G980" i="7"/>
  <c r="F1361" i="7" s="1"/>
  <c r="G440" i="7"/>
  <c r="F1271" i="2" s="1"/>
  <c r="G1271" i="2" s="1"/>
  <c r="F2069" i="2" l="1"/>
  <c r="G2069" i="2" s="1"/>
  <c r="F2094" i="2"/>
  <c r="G2094" i="2" s="1"/>
  <c r="F2067" i="2"/>
  <c r="G2067" i="2" s="1"/>
  <c r="F707" i="2"/>
  <c r="F828" i="2"/>
  <c r="G828" i="2" s="1"/>
  <c r="F810" i="2"/>
  <c r="G810" i="2" s="1"/>
  <c r="F1376" i="7"/>
  <c r="G1376" i="7" s="1"/>
  <c r="G1380" i="7" s="1"/>
  <c r="F1350" i="7"/>
  <c r="G1350" i="7" s="1"/>
  <c r="G2139" i="7"/>
  <c r="G2138" i="7"/>
  <c r="G2137" i="7"/>
  <c r="G2136" i="7"/>
  <c r="G2122" i="7"/>
  <c r="G2121" i="7"/>
  <c r="G2120" i="7"/>
  <c r="G2119" i="7"/>
  <c r="G2103" i="7"/>
  <c r="G2104" i="7"/>
  <c r="G2105" i="7"/>
  <c r="G2102" i="7"/>
  <c r="G2088" i="7"/>
  <c r="G2087" i="7"/>
  <c r="G2073" i="7"/>
  <c r="G2329" i="2"/>
  <c r="G2347" i="2"/>
  <c r="G1964" i="7"/>
  <c r="G2033" i="7"/>
  <c r="G2005" i="7"/>
  <c r="G1922" i="7"/>
  <c r="G1892" i="7"/>
  <c r="G1807" i="7"/>
  <c r="G1806" i="7"/>
  <c r="G1792" i="7"/>
  <c r="G1791" i="7"/>
  <c r="G1777" i="7"/>
  <c r="F1348" i="7" l="1"/>
  <c r="G1348" i="7" s="1"/>
  <c r="G2073" i="2"/>
  <c r="G1763" i="7"/>
  <c r="G1762" i="7"/>
  <c r="G1649" i="7" l="1"/>
  <c r="G1650" i="7"/>
  <c r="G1335" i="7" l="1"/>
  <c r="G1337" i="7" s="1"/>
  <c r="G1338" i="7" s="1"/>
  <c r="F1295" i="7" s="1"/>
  <c r="G1295" i="7" s="1"/>
  <c r="G1325" i="7"/>
  <c r="G1327" i="7" s="1"/>
  <c r="G1328" i="7" s="1"/>
  <c r="F1294" i="7" s="1"/>
  <c r="G1294" i="7" s="1"/>
  <c r="G1315" i="7"/>
  <c r="G1317" i="7" s="1"/>
  <c r="G1318" i="7" s="1"/>
  <c r="G1305" i="7"/>
  <c r="G1307" i="7" s="1"/>
  <c r="G1308" i="7" s="1"/>
  <c r="F1292" i="7" s="1"/>
  <c r="G1292" i="7" s="1"/>
  <c r="F1293" i="7" l="1"/>
  <c r="G1293" i="7" s="1"/>
  <c r="G1297" i="7" s="1"/>
  <c r="G1298" i="7" s="1"/>
  <c r="G691" i="2" s="1"/>
  <c r="G673" i="2" l="1"/>
  <c r="G672" i="2"/>
  <c r="G671" i="2"/>
  <c r="G1203" i="7" l="1"/>
  <c r="G623" i="2" l="1"/>
  <c r="G622" i="2"/>
  <c r="G602" i="2"/>
  <c r="G601" i="2"/>
  <c r="G457" i="2"/>
  <c r="G262" i="2"/>
  <c r="G261" i="2"/>
  <c r="G3396" i="2" l="1"/>
  <c r="G3395" i="2"/>
  <c r="G3394" i="2"/>
  <c r="G3393" i="2"/>
  <c r="G3392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B3400" i="2"/>
  <c r="B3402" i="2" s="1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B3357" i="2"/>
  <c r="B3359" i="2" s="1"/>
  <c r="G3327" i="2"/>
  <c r="G3326" i="2"/>
  <c r="G3325" i="2"/>
  <c r="G3324" i="2"/>
  <c r="G3323" i="2"/>
  <c r="G3322" i="2"/>
  <c r="B3331" i="2"/>
  <c r="B3333" i="2" s="1"/>
  <c r="G3225" i="2"/>
  <c r="G3224" i="2"/>
  <c r="G3223" i="2"/>
  <c r="G3222" i="2"/>
  <c r="G3202" i="2"/>
  <c r="G3201" i="2"/>
  <c r="G3227" i="2" l="1"/>
  <c r="B3403" i="2"/>
  <c r="B3360" i="2"/>
  <c r="B3334" i="2"/>
  <c r="G3187" i="2"/>
  <c r="B3191" i="2"/>
  <c r="G3173" i="2"/>
  <c r="G3172" i="2"/>
  <c r="G3171" i="2"/>
  <c r="G3170" i="2"/>
  <c r="B3177" i="2"/>
  <c r="B3179" i="2" s="1"/>
  <c r="B3194" i="2" l="1"/>
  <c r="B3180" i="2"/>
  <c r="G2949" i="2"/>
  <c r="G2948" i="2"/>
  <c r="G2947" i="2"/>
  <c r="G2946" i="2"/>
  <c r="G2945" i="2"/>
  <c r="B2953" i="2"/>
  <c r="B2955" i="2" s="1"/>
  <c r="G2868" i="2"/>
  <c r="G2867" i="2"/>
  <c r="G2866" i="2"/>
  <c r="G2865" i="2"/>
  <c r="G2864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B2956" i="2" l="1"/>
  <c r="P269" i="1" s="1"/>
  <c r="G636" i="7"/>
  <c r="G637" i="7" s="1"/>
  <c r="G639" i="7" s="1"/>
  <c r="G364" i="7"/>
  <c r="G368" i="7"/>
  <c r="G367" i="7"/>
  <c r="G366" i="7"/>
  <c r="G365" i="7"/>
  <c r="Q269" i="1" l="1"/>
  <c r="G616" i="7"/>
  <c r="G617" i="7" s="1"/>
  <c r="G619" i="7" s="1"/>
  <c r="G354" i="7" s="1"/>
  <c r="G347" i="7"/>
  <c r="G351" i="7"/>
  <c r="G350" i="7"/>
  <c r="G349" i="7"/>
  <c r="G348" i="7"/>
  <c r="G864" i="7"/>
  <c r="G863" i="7"/>
  <c r="G862" i="7"/>
  <c r="G83" i="2"/>
  <c r="G85" i="2" s="1"/>
  <c r="G86" i="2" s="1"/>
  <c r="B87" i="2" s="1"/>
  <c r="B89" i="2" s="1"/>
  <c r="B90" i="2" l="1"/>
  <c r="G355" i="7"/>
  <c r="F2049" i="2" s="1"/>
  <c r="G2049" i="2" s="1"/>
  <c r="F2030" i="2" l="1"/>
  <c r="G2030" i="2" s="1"/>
  <c r="P18" i="1"/>
  <c r="P17" i="1"/>
  <c r="P16" i="1"/>
  <c r="F3002" i="2"/>
  <c r="G3002" i="2" s="1"/>
  <c r="F2459" i="2"/>
  <c r="G2459" i="2" s="1"/>
  <c r="P19" i="1"/>
  <c r="P15" i="1"/>
  <c r="Q16" i="1" l="1"/>
  <c r="Q18" i="1"/>
  <c r="Q15" i="1"/>
  <c r="Q19" i="1"/>
  <c r="Q17" i="1"/>
  <c r="G63" i="2"/>
  <c r="G62" i="2"/>
  <c r="G61" i="2"/>
  <c r="G60" i="2"/>
  <c r="Q22" i="1" l="1"/>
  <c r="C7" i="8" s="1"/>
  <c r="G43" i="2"/>
  <c r="G44" i="2"/>
  <c r="G45" i="2"/>
  <c r="G46" i="2"/>
  <c r="I7" i="8" l="1"/>
  <c r="AA7" i="8"/>
  <c r="U7" i="8"/>
  <c r="O7" i="8"/>
  <c r="G334" i="7"/>
  <c r="G1837" i="7" s="1"/>
  <c r="G1841" i="7" s="1"/>
  <c r="G333" i="7"/>
  <c r="G1836" i="7" s="1"/>
  <c r="G1840" i="7" s="1"/>
  <c r="G332" i="7"/>
  <c r="G331" i="7"/>
  <c r="G330" i="7"/>
  <c r="G317" i="7"/>
  <c r="G316" i="7"/>
  <c r="G315" i="7"/>
  <c r="G314" i="7"/>
  <c r="G313" i="7"/>
  <c r="G283" i="7"/>
  <c r="G1824" i="7" s="1"/>
  <c r="G282" i="7"/>
  <c r="G281" i="7"/>
  <c r="G280" i="7"/>
  <c r="G279" i="7"/>
  <c r="G249" i="7"/>
  <c r="G248" i="7"/>
  <c r="G247" i="7"/>
  <c r="G246" i="7"/>
  <c r="G245" i="7"/>
  <c r="G232" i="7"/>
  <c r="G231" i="7"/>
  <c r="G230" i="7"/>
  <c r="G229" i="7"/>
  <c r="G228" i="7"/>
  <c r="G215" i="7"/>
  <c r="G214" i="7"/>
  <c r="G213" i="7"/>
  <c r="F1660" i="2" s="1"/>
  <c r="G1660" i="2" s="1"/>
  <c r="G212" i="7"/>
  <c r="F1659" i="2" s="1"/>
  <c r="G1659" i="2" s="1"/>
  <c r="G211" i="7"/>
  <c r="G198" i="7"/>
  <c r="G197" i="7"/>
  <c r="G196" i="7"/>
  <c r="G195" i="7"/>
  <c r="G194" i="7"/>
  <c r="G181" i="7"/>
  <c r="G180" i="7"/>
  <c r="G179" i="7"/>
  <c r="G178" i="7"/>
  <c r="G177" i="7"/>
  <c r="G164" i="7"/>
  <c r="G163" i="7"/>
  <c r="G162" i="7"/>
  <c r="G161" i="7"/>
  <c r="G160" i="7"/>
  <c r="G147" i="7"/>
  <c r="G146" i="7"/>
  <c r="G145" i="7"/>
  <c r="G144" i="7"/>
  <c r="G143" i="7"/>
  <c r="G132" i="7"/>
  <c r="G131" i="7"/>
  <c r="G130" i="7"/>
  <c r="G129" i="7"/>
  <c r="G128" i="7"/>
  <c r="G117" i="7"/>
  <c r="G116" i="7"/>
  <c r="G115" i="7"/>
  <c r="G114" i="7"/>
  <c r="G113" i="7"/>
  <c r="G83" i="7"/>
  <c r="G82" i="7"/>
  <c r="G81" i="7"/>
  <c r="G80" i="7"/>
  <c r="G79" i="7"/>
  <c r="G49" i="7"/>
  <c r="G48" i="7"/>
  <c r="G47" i="7"/>
  <c r="G46" i="7"/>
  <c r="G45" i="7"/>
  <c r="G2023" i="7"/>
  <c r="G1991" i="7"/>
  <c r="G1952" i="7"/>
  <c r="G1951" i="7"/>
  <c r="G1583" i="7"/>
  <c r="G1573" i="7"/>
  <c r="G1563" i="7"/>
  <c r="G1564" i="7" s="1"/>
  <c r="G1566" i="7" s="1"/>
  <c r="G252" i="7" s="1"/>
  <c r="G1553" i="7"/>
  <c r="G1554" i="7" s="1"/>
  <c r="G1556" i="7" s="1"/>
  <c r="G286" i="7" s="1"/>
  <c r="G1543" i="7"/>
  <c r="G1544" i="7" s="1"/>
  <c r="G1546" i="7" s="1"/>
  <c r="G235" i="7" s="1"/>
  <c r="G1533" i="7"/>
  <c r="G1534" i="7" s="1"/>
  <c r="G1536" i="7" s="1"/>
  <c r="G201" i="7" s="1"/>
  <c r="F1523" i="7"/>
  <c r="G1523" i="7" s="1"/>
  <c r="G1524" i="7" s="1"/>
  <c r="G1526" i="7" s="1"/>
  <c r="F218" i="7" s="1"/>
  <c r="G218" i="7" s="1"/>
  <c r="G1500" i="7"/>
  <c r="G1502" i="7" s="1"/>
  <c r="G1503" i="7" s="1"/>
  <c r="G1434" i="7" s="1"/>
  <c r="G1490" i="7"/>
  <c r="G1492" i="7" s="1"/>
  <c r="G1493" i="7" s="1"/>
  <c r="F1433" i="7" s="1"/>
  <c r="G1433" i="7" s="1"/>
  <c r="G1480" i="7"/>
  <c r="G1482" i="7" s="1"/>
  <c r="G1483" i="7" s="1"/>
  <c r="G1470" i="7"/>
  <c r="G1472" i="7" s="1"/>
  <c r="G1473" i="7" s="1"/>
  <c r="G1460" i="7"/>
  <c r="G1461" i="7" s="1"/>
  <c r="G1463" i="7" s="1"/>
  <c r="G1450" i="7" s="1"/>
  <c r="G1448" i="7"/>
  <c r="G1447" i="7"/>
  <c r="G1446" i="7"/>
  <c r="G1445" i="7"/>
  <c r="G1444" i="7"/>
  <c r="G1271" i="7"/>
  <c r="G1273" i="7" s="1"/>
  <c r="G1274" i="7" s="1"/>
  <c r="G1220" i="7" s="1"/>
  <c r="G1261" i="7"/>
  <c r="G1263" i="7" s="1"/>
  <c r="G1264" i="7" s="1"/>
  <c r="G1219" i="7" s="1"/>
  <c r="G1251" i="7"/>
  <c r="G1253" i="7" s="1"/>
  <c r="G1254" i="7" s="1"/>
  <c r="G1241" i="7"/>
  <c r="G1175" i="7"/>
  <c r="G1161" i="7"/>
  <c r="G1151" i="7"/>
  <c r="G1152" i="7" s="1"/>
  <c r="G1154" i="7" s="1"/>
  <c r="G167" i="7" s="1"/>
  <c r="G1748" i="7" s="1"/>
  <c r="G1141" i="7"/>
  <c r="G1142" i="7" s="1"/>
  <c r="G1144" i="7" s="1"/>
  <c r="G184" i="7" s="1"/>
  <c r="G1118" i="7"/>
  <c r="G1120" i="7" s="1"/>
  <c r="G1121" i="7" s="1"/>
  <c r="F1078" i="7" s="1"/>
  <c r="G1078" i="7" s="1"/>
  <c r="G1108" i="7"/>
  <c r="G1110" i="7" s="1"/>
  <c r="G1111" i="7" s="1"/>
  <c r="F1077" i="7" s="1"/>
  <c r="G1077" i="7" s="1"/>
  <c r="G1098" i="7"/>
  <c r="G1100" i="7" s="1"/>
  <c r="G1101" i="7" s="1"/>
  <c r="F1131" i="7" s="1"/>
  <c r="G1131" i="7" s="1"/>
  <c r="G1088" i="7"/>
  <c r="G1090" i="7" s="1"/>
  <c r="G1091" i="7" s="1"/>
  <c r="G1052" i="7"/>
  <c r="G1054" i="7" s="1"/>
  <c r="G1055" i="7" s="1"/>
  <c r="G1012" i="7" s="1"/>
  <c r="G1042" i="7"/>
  <c r="G1044" i="7" s="1"/>
  <c r="G1045" i="7" s="1"/>
  <c r="G1011" i="7" s="1"/>
  <c r="G1032" i="7"/>
  <c r="G1034" i="7" s="1"/>
  <c r="G1035" i="7" s="1"/>
  <c r="G1022" i="7"/>
  <c r="G1024" i="7" s="1"/>
  <c r="G1025" i="7" s="1"/>
  <c r="G999" i="7"/>
  <c r="G1000" i="7" s="1"/>
  <c r="G1002" i="7" s="1"/>
  <c r="G940" i="7" s="1"/>
  <c r="G938" i="7"/>
  <c r="G937" i="7"/>
  <c r="G936" i="7"/>
  <c r="F1606" i="2" s="1"/>
  <c r="G1606" i="2" s="1"/>
  <c r="G935" i="7"/>
  <c r="F1605" i="2" s="1"/>
  <c r="G1605" i="2" s="1"/>
  <c r="G934" i="7"/>
  <c r="G918" i="7"/>
  <c r="G917" i="7"/>
  <c r="G916" i="7"/>
  <c r="G839" i="7"/>
  <c r="G841" i="7" s="1"/>
  <c r="G842" i="7" s="1"/>
  <c r="G719" i="7" s="1"/>
  <c r="G829" i="7"/>
  <c r="G831" i="7" s="1"/>
  <c r="G832" i="7" s="1"/>
  <c r="G718" i="7" s="1"/>
  <c r="G819" i="7"/>
  <c r="G821" i="7" s="1"/>
  <c r="G822" i="7" s="1"/>
  <c r="G809" i="7"/>
  <c r="G799" i="7"/>
  <c r="G800" i="7" s="1"/>
  <c r="G802" i="7" s="1"/>
  <c r="G735" i="7" s="1"/>
  <c r="G733" i="7"/>
  <c r="G732" i="7"/>
  <c r="G731" i="7"/>
  <c r="G730" i="7"/>
  <c r="G729" i="7"/>
  <c r="G704" i="7"/>
  <c r="G703" i="7"/>
  <c r="G693" i="7"/>
  <c r="G692" i="7"/>
  <c r="G682" i="7"/>
  <c r="G681" i="7"/>
  <c r="G626" i="7"/>
  <c r="G627" i="7" s="1"/>
  <c r="G629" i="7" s="1"/>
  <c r="G150" i="7" s="1"/>
  <c r="G606" i="7"/>
  <c r="G607" i="7" s="1"/>
  <c r="G609" i="7" s="1"/>
  <c r="G86" i="7" s="1"/>
  <c r="G353" i="2" s="1"/>
  <c r="G596" i="7"/>
  <c r="G597" i="7" s="1"/>
  <c r="G599" i="7" s="1"/>
  <c r="G133" i="7" s="1"/>
  <c r="G586" i="7"/>
  <c r="G576" i="7"/>
  <c r="G546" i="7"/>
  <c r="G547" i="7" s="1"/>
  <c r="G549" i="7" s="1"/>
  <c r="G52" i="7" s="1"/>
  <c r="G19" i="7"/>
  <c r="G421" i="7" s="1"/>
  <c r="G424" i="7" s="1"/>
  <c r="G18" i="7"/>
  <c r="G17" i="7"/>
  <c r="G16" i="7"/>
  <c r="G15" i="7"/>
  <c r="G14" i="7"/>
  <c r="G13" i="7"/>
  <c r="G12" i="7"/>
  <c r="G11" i="7"/>
  <c r="G10" i="7"/>
  <c r="G9" i="7"/>
  <c r="G7" i="7"/>
  <c r="G1822" i="7" l="1"/>
  <c r="G1826" i="7" s="1"/>
  <c r="G21" i="7"/>
  <c r="G1842" i="7"/>
  <c r="P253" i="1" s="1"/>
  <c r="Q253" i="1" s="1"/>
  <c r="G151" i="7"/>
  <c r="G425" i="7"/>
  <c r="F1328" i="2"/>
  <c r="G1328" i="2" s="1"/>
  <c r="F1309" i="2"/>
  <c r="G1309" i="2" s="1"/>
  <c r="F1290" i="2"/>
  <c r="G1290" i="2" s="1"/>
  <c r="G577" i="7"/>
  <c r="G579" i="7" s="1"/>
  <c r="G69" i="7"/>
  <c r="G70" i="7" s="1"/>
  <c r="F847" i="2" s="1"/>
  <c r="G847" i="2" s="1"/>
  <c r="G811" i="7"/>
  <c r="G812" i="7" s="1"/>
  <c r="G851" i="7" s="1"/>
  <c r="G769" i="7"/>
  <c r="G770" i="7" s="1"/>
  <c r="G1584" i="7"/>
  <c r="G269" i="7"/>
  <c r="G270" i="7" s="1"/>
  <c r="G1574" i="7"/>
  <c r="G1576" i="7" s="1"/>
  <c r="G321" i="7" s="1"/>
  <c r="F1083" i="2" s="1"/>
  <c r="G1083" i="2" s="1"/>
  <c r="G303" i="7"/>
  <c r="G304" i="7" s="1"/>
  <c r="F267" i="2" s="1"/>
  <c r="G267" i="2" s="1"/>
  <c r="G587" i="7"/>
  <c r="G589" i="7" s="1"/>
  <c r="G118" i="7" s="1"/>
  <c r="G119" i="7" s="1"/>
  <c r="G1749" i="7" s="1"/>
  <c r="G1753" i="7" s="1"/>
  <c r="F379" i="2" s="1"/>
  <c r="G379" i="2" s="1"/>
  <c r="G405" i="7"/>
  <c r="G406" i="7" s="1"/>
  <c r="F2186" i="2" s="1"/>
  <c r="G2186" i="2" s="1"/>
  <c r="G1243" i="7"/>
  <c r="G1244" i="7" s="1"/>
  <c r="G1217" i="7" s="1"/>
  <c r="G371" i="7"/>
  <c r="G684" i="7"/>
  <c r="G685" i="7" s="1"/>
  <c r="G668" i="7" s="1"/>
  <c r="G706" i="7"/>
  <c r="G707" i="7" s="1"/>
  <c r="G670" i="7" s="1"/>
  <c r="G1451" i="7"/>
  <c r="F1510" i="7" s="1"/>
  <c r="G1510" i="7" s="1"/>
  <c r="G1514" i="7" s="1"/>
  <c r="G219" i="7"/>
  <c r="F727" i="2" s="1"/>
  <c r="F1076" i="7"/>
  <c r="G1076" i="7" s="1"/>
  <c r="G120" i="7"/>
  <c r="G135" i="7"/>
  <c r="F667" i="7" s="1"/>
  <c r="G667" i="7" s="1"/>
  <c r="G456" i="7" s="1"/>
  <c r="G457" i="7" s="1"/>
  <c r="F493" i="7" s="1"/>
  <c r="G493" i="7" s="1"/>
  <c r="G497" i="7" s="1"/>
  <c r="F1075" i="7"/>
  <c r="G1075" i="7" s="1"/>
  <c r="F1130" i="7"/>
  <c r="G1130" i="7" s="1"/>
  <c r="G22" i="7"/>
  <c r="G67" i="7" s="1"/>
  <c r="G37" i="7"/>
  <c r="G38" i="7" s="1"/>
  <c r="G941" i="7"/>
  <c r="F903" i="7" s="1"/>
  <c r="G903" i="7" s="1"/>
  <c r="G134" i="7"/>
  <c r="G287" i="7"/>
  <c r="G53" i="7"/>
  <c r="G87" i="7"/>
  <c r="F15" i="2" s="1"/>
  <c r="G15" i="2" s="1"/>
  <c r="G202" i="7"/>
  <c r="F645" i="2" s="1"/>
  <c r="G645" i="2" s="1"/>
  <c r="G253" i="7"/>
  <c r="G236" i="7"/>
  <c r="G185" i="7"/>
  <c r="F603" i="2" s="1"/>
  <c r="G168" i="7"/>
  <c r="F584" i="2" s="1"/>
  <c r="G584" i="2" s="1"/>
  <c r="F1513" i="7"/>
  <c r="G1513" i="7" s="1"/>
  <c r="G1432" i="7"/>
  <c r="G1009" i="7"/>
  <c r="G1062" i="7"/>
  <c r="G736" i="7"/>
  <c r="G1218" i="7"/>
  <c r="F1282" i="7"/>
  <c r="G1282" i="7" s="1"/>
  <c r="G1284" i="7" s="1"/>
  <c r="G1285" i="7" s="1"/>
  <c r="G852" i="7"/>
  <c r="G717" i="7"/>
  <c r="G1063" i="7"/>
  <c r="G1010" i="7"/>
  <c r="G1431" i="7"/>
  <c r="G1365" i="7" s="1"/>
  <c r="F1512" i="7"/>
  <c r="G1512" i="7" s="1"/>
  <c r="G695" i="7"/>
  <c r="G696" i="7" s="1"/>
  <c r="G669" i="7" s="1"/>
  <c r="F337" i="2" l="1"/>
  <c r="F369" i="2"/>
  <c r="G369" i="2" s="1"/>
  <c r="F753" i="2"/>
  <c r="G753" i="2" s="1"/>
  <c r="F373" i="2"/>
  <c r="G373" i="2" s="1"/>
  <c r="F1406" i="2"/>
  <c r="G1406" i="2" s="1"/>
  <c r="G1414" i="2" s="1"/>
  <c r="F909" i="2"/>
  <c r="G909" i="2" s="1"/>
  <c r="G917" i="2" s="1"/>
  <c r="G919" i="2" s="1"/>
  <c r="B920" i="2" s="1"/>
  <c r="B922" i="2" s="1"/>
  <c r="B923" i="2" s="1"/>
  <c r="P102" i="1" s="1"/>
  <c r="F2498" i="2"/>
  <c r="F845" i="2"/>
  <c r="G845" i="2" s="1"/>
  <c r="G851" i="2" s="1"/>
  <c r="F1428" i="2"/>
  <c r="G1428" i="2" s="1"/>
  <c r="F400" i="2"/>
  <c r="G400" i="2" s="1"/>
  <c r="F1543" i="2"/>
  <c r="G1543" i="2" s="1"/>
  <c r="F1599" i="2"/>
  <c r="G1599" i="2" s="1"/>
  <c r="F11" i="2"/>
  <c r="G11" i="2" s="1"/>
  <c r="F2167" i="2"/>
  <c r="G2167" i="2" s="1"/>
  <c r="F1136" i="2"/>
  <c r="G1136" i="2" s="1"/>
  <c r="F2786" i="2"/>
  <c r="G2786" i="2" s="1"/>
  <c r="F1231" i="2"/>
  <c r="G1231" i="2" s="1"/>
  <c r="F1064" i="2"/>
  <c r="G1064" i="2" s="1"/>
  <c r="F2723" i="2"/>
  <c r="G2723" i="2" s="1"/>
  <c r="F1250" i="2"/>
  <c r="G1250" i="2" s="1"/>
  <c r="F1212" i="2"/>
  <c r="G1212" i="2" s="1"/>
  <c r="F1174" i="2"/>
  <c r="G1174" i="2" s="1"/>
  <c r="F1155" i="2"/>
  <c r="G1155" i="2" s="1"/>
  <c r="F1193" i="2"/>
  <c r="G1193" i="2" s="1"/>
  <c r="F1117" i="2"/>
  <c r="G1117" i="2" s="1"/>
  <c r="F973" i="2"/>
  <c r="G973" i="2" s="1"/>
  <c r="F992" i="2"/>
  <c r="G992" i="2" s="1"/>
  <c r="F1043" i="2"/>
  <c r="G1043" i="2" s="1"/>
  <c r="F7" i="2"/>
  <c r="G7" i="2" s="1"/>
  <c r="F2408" i="2"/>
  <c r="G2408" i="2" s="1"/>
  <c r="F2849" i="2"/>
  <c r="F2765" i="2"/>
  <c r="G2765" i="2" s="1"/>
  <c r="F2009" i="2"/>
  <c r="G2009" i="2" s="1"/>
  <c r="F1910" i="7"/>
  <c r="G1910" i="7" s="1"/>
  <c r="F269" i="2"/>
  <c r="G269" i="2" s="1"/>
  <c r="F1908" i="7"/>
  <c r="G1908" i="7" s="1"/>
  <c r="F1571" i="2"/>
  <c r="G1571" i="2" s="1"/>
  <c r="F1747" i="2"/>
  <c r="G1747" i="2" s="1"/>
  <c r="G1764" i="2" s="1"/>
  <c r="F1687" i="2"/>
  <c r="G1687" i="2" s="1"/>
  <c r="F1715" i="2"/>
  <c r="G1715" i="2" s="1"/>
  <c r="F1627" i="2"/>
  <c r="G1627" i="2" s="1"/>
  <c r="G337" i="2"/>
  <c r="F1719" i="2"/>
  <c r="G1719" i="2" s="1"/>
  <c r="F1751" i="2"/>
  <c r="G1751" i="2" s="1"/>
  <c r="F341" i="2"/>
  <c r="G341" i="2" s="1"/>
  <c r="F1732" i="7"/>
  <c r="G1732" i="7" s="1"/>
  <c r="G1738" i="7" s="1"/>
  <c r="F1547" i="2" s="1"/>
  <c r="G1547" i="2" s="1"/>
  <c r="F1690" i="7"/>
  <c r="G1690" i="7" s="1"/>
  <c r="G1696" i="7" s="1"/>
  <c r="F371" i="2" s="1"/>
  <c r="F1705" i="7"/>
  <c r="G1705" i="7" s="1"/>
  <c r="G1711" i="7" s="1"/>
  <c r="G459" i="7"/>
  <c r="F466" i="7"/>
  <c r="G466" i="7" s="1"/>
  <c r="G472" i="7" s="1"/>
  <c r="F367" i="2" s="1"/>
  <c r="G367" i="2" s="1"/>
  <c r="F2894" i="2"/>
  <c r="G2894" i="2" s="1"/>
  <c r="F2007" i="2"/>
  <c r="G2007" i="2" s="1"/>
  <c r="F771" i="2"/>
  <c r="G771" i="2" s="1"/>
  <c r="F2829" i="2"/>
  <c r="G2829" i="2" s="1"/>
  <c r="F2151" i="2"/>
  <c r="G2151" i="2" s="1"/>
  <c r="F2131" i="2"/>
  <c r="G2131" i="2" s="1"/>
  <c r="F2708" i="2"/>
  <c r="G2708" i="2" s="1"/>
  <c r="G2710" i="2" s="1"/>
  <c r="F2745" i="2" s="1"/>
  <c r="G2745" i="2" s="1"/>
  <c r="F2692" i="2"/>
  <c r="G2692" i="2" s="1"/>
  <c r="G2694" i="2" s="1"/>
  <c r="F1269" i="2"/>
  <c r="G1269" i="2" s="1"/>
  <c r="G1274" i="2" s="1"/>
  <c r="F2047" i="2"/>
  <c r="G2047" i="2" s="1"/>
  <c r="G2052" i="2" s="1"/>
  <c r="F790" i="2"/>
  <c r="F930" i="2"/>
  <c r="F1306" i="2"/>
  <c r="G1306" i="2" s="1"/>
  <c r="G1312" i="2" s="1"/>
  <c r="F1325" i="2"/>
  <c r="G1325" i="2" s="1"/>
  <c r="G1331" i="2" s="1"/>
  <c r="F751" i="2"/>
  <c r="G751" i="2" s="1"/>
  <c r="F2074" i="7"/>
  <c r="G2074" i="7" s="1"/>
  <c r="F2149" i="2"/>
  <c r="G2149" i="2" s="1"/>
  <c r="F2129" i="2"/>
  <c r="G2129" i="2" s="1"/>
  <c r="F932" i="2"/>
  <c r="G932" i="2" s="1"/>
  <c r="F773" i="2"/>
  <c r="G773" i="2" s="1"/>
  <c r="F2892" i="2"/>
  <c r="G2892" i="2" s="1"/>
  <c r="F955" i="2"/>
  <c r="G955" i="2" s="1"/>
  <c r="F768" i="7"/>
  <c r="F1287" i="2"/>
  <c r="G1287" i="2" s="1"/>
  <c r="G1293" i="2" s="1"/>
  <c r="F953" i="2"/>
  <c r="G953" i="2" s="1"/>
  <c r="F2831" i="2"/>
  <c r="G2831" i="2" s="1"/>
  <c r="F2236" i="7"/>
  <c r="G2236" i="7" s="1"/>
  <c r="F2251" i="7"/>
  <c r="G2251" i="7" s="1"/>
  <c r="F2221" i="7"/>
  <c r="G716" i="7"/>
  <c r="F1368" i="2"/>
  <c r="G1368" i="2" s="1"/>
  <c r="F165" i="2"/>
  <c r="G165" i="2" s="1"/>
  <c r="F2568" i="2"/>
  <c r="G2568" i="2" s="1"/>
  <c r="F2516" i="2"/>
  <c r="G2516" i="2" s="1"/>
  <c r="G2519" i="2" s="1"/>
  <c r="F2586" i="2"/>
  <c r="G2586" i="2" s="1"/>
  <c r="F2550" i="2"/>
  <c r="G2550" i="2" s="1"/>
  <c r="G2533" i="2"/>
  <c r="F66" i="2"/>
  <c r="G66" i="2" s="1"/>
  <c r="F3151" i="2"/>
  <c r="G3151" i="2" s="1"/>
  <c r="F2584" i="2"/>
  <c r="G2584" i="2" s="1"/>
  <c r="F2548" i="2"/>
  <c r="G2548" i="2" s="1"/>
  <c r="F2566" i="2"/>
  <c r="G2566" i="2" s="1"/>
  <c r="F3205" i="2"/>
  <c r="G3205" i="2" s="1"/>
  <c r="G2532" i="2"/>
  <c r="F2500" i="2"/>
  <c r="G2500" i="2" s="1"/>
  <c r="F2873" i="2"/>
  <c r="G2873" i="2" s="1"/>
  <c r="F643" i="2"/>
  <c r="G643" i="2" s="1"/>
  <c r="G652" i="2" s="1"/>
  <c r="F163" i="2"/>
  <c r="G163" i="2" s="1"/>
  <c r="G267" i="7"/>
  <c r="G767" i="7"/>
  <c r="G3221" i="2"/>
  <c r="G3240" i="2"/>
  <c r="F2368" i="2"/>
  <c r="G2368" i="2" s="1"/>
  <c r="F2076" i="7"/>
  <c r="G2076" i="7" s="1"/>
  <c r="F1593" i="7"/>
  <c r="G1593" i="7" s="1"/>
  <c r="F3305" i="2"/>
  <c r="G3305" i="2" s="1"/>
  <c r="F3287" i="2"/>
  <c r="G3287" i="2" s="1"/>
  <c r="F2366" i="2"/>
  <c r="G2366" i="2" s="1"/>
  <c r="F1953" i="2"/>
  <c r="G1953" i="2" s="1"/>
  <c r="F1893" i="2"/>
  <c r="G1893" i="2" s="1"/>
  <c r="F1991" i="2"/>
  <c r="G1991" i="2" s="1"/>
  <c r="F1875" i="2"/>
  <c r="G1875" i="2" s="1"/>
  <c r="F1524" i="2"/>
  <c r="G1524" i="2" s="1"/>
  <c r="F1505" i="2"/>
  <c r="G1505" i="2" s="1"/>
  <c r="F1484" i="2"/>
  <c r="G1484" i="2" s="1"/>
  <c r="F1873" i="2"/>
  <c r="G1873" i="2" s="1"/>
  <c r="F1989" i="2"/>
  <c r="G1989" i="2" s="1"/>
  <c r="F3081" i="2"/>
  <c r="G3081" i="2" s="1"/>
  <c r="F2065" i="2"/>
  <c r="G2065" i="2" s="1"/>
  <c r="F2028" i="2"/>
  <c r="G2028" i="2" s="1"/>
  <c r="G2034" i="2" s="1"/>
  <c r="F1678" i="7"/>
  <c r="G1678" i="7" s="1"/>
  <c r="G1680" i="7" s="1"/>
  <c r="F2113" i="2"/>
  <c r="G2113" i="2" s="1"/>
  <c r="G2116" i="2" s="1"/>
  <c r="F1951" i="2"/>
  <c r="G1951" i="2" s="1"/>
  <c r="F2092" i="2"/>
  <c r="G2092" i="2" s="1"/>
  <c r="G2100" i="2" s="1"/>
  <c r="F1891" i="2"/>
  <c r="G1891" i="2" s="1"/>
  <c r="F1503" i="2"/>
  <c r="G1503" i="2" s="1"/>
  <c r="F1522" i="2"/>
  <c r="G1522" i="2" s="1"/>
  <c r="G1586" i="7"/>
  <c r="G337" i="7" s="1"/>
  <c r="F1464" i="2"/>
  <c r="G1464" i="2" s="1"/>
  <c r="F1486" i="2"/>
  <c r="G1486" i="2" s="1"/>
  <c r="F885" i="7"/>
  <c r="G885" i="7" s="1"/>
  <c r="F1660" i="7"/>
  <c r="G1660" i="7" s="1"/>
  <c r="G1667" i="7" s="1"/>
  <c r="F1573" i="2" s="1"/>
  <c r="G888" i="7"/>
  <c r="G1666" i="7"/>
  <c r="F1389" i="2"/>
  <c r="G1389" i="2" s="1"/>
  <c r="F586" i="2"/>
  <c r="G586" i="2" s="1"/>
  <c r="G588" i="2" s="1"/>
  <c r="F1462" i="2"/>
  <c r="G1462" i="2" s="1"/>
  <c r="G268" i="7"/>
  <c r="G403" i="7"/>
  <c r="G301" i="7"/>
  <c r="F436" i="2"/>
  <c r="G436" i="2" s="1"/>
  <c r="F214" i="2"/>
  <c r="G214" i="2" s="1"/>
  <c r="F197" i="2"/>
  <c r="G197" i="2" s="1"/>
  <c r="F143" i="2"/>
  <c r="G143" i="2" s="1"/>
  <c r="F792" i="2"/>
  <c r="G792" i="2" s="1"/>
  <c r="F891" i="2"/>
  <c r="G891" i="2" s="1"/>
  <c r="F145" i="2"/>
  <c r="G145" i="2" s="1"/>
  <c r="G231" i="2"/>
  <c r="G233" i="2" s="1"/>
  <c r="G216" i="2"/>
  <c r="G199" i="2"/>
  <c r="G246" i="2"/>
  <c r="G248" i="2" s="1"/>
  <c r="F567" i="2"/>
  <c r="G567" i="2" s="1"/>
  <c r="G569" i="2" s="1"/>
  <c r="F551" i="2"/>
  <c r="G551" i="2" s="1"/>
  <c r="G386" i="7"/>
  <c r="G750" i="7"/>
  <c r="F533" i="2"/>
  <c r="G533" i="2" s="1"/>
  <c r="F515" i="2"/>
  <c r="G515" i="2" s="1"/>
  <c r="G517" i="2" s="1"/>
  <c r="F288" i="2"/>
  <c r="G288" i="2" s="1"/>
  <c r="G290" i="2" s="1"/>
  <c r="F438" i="2"/>
  <c r="G438" i="2" s="1"/>
  <c r="F2875" i="2"/>
  <c r="G2875" i="2" s="1"/>
  <c r="F2812" i="2"/>
  <c r="G2812" i="2" s="1"/>
  <c r="F2206" i="7"/>
  <c r="G2206" i="7" s="1"/>
  <c r="F725" i="2"/>
  <c r="G725" i="2" s="1"/>
  <c r="F808" i="2"/>
  <c r="G808" i="2" s="1"/>
  <c r="G813" i="2" s="1"/>
  <c r="F869" i="2"/>
  <c r="G869" i="2" s="1"/>
  <c r="F826" i="2"/>
  <c r="G826" i="2" s="1"/>
  <c r="G831" i="2" s="1"/>
  <c r="F3004" i="2"/>
  <c r="G3004" i="2" s="1"/>
  <c r="G3006" i="2" s="1"/>
  <c r="F2985" i="2"/>
  <c r="G2985" i="2" s="1"/>
  <c r="F875" i="2"/>
  <c r="G875" i="2" s="1"/>
  <c r="F736" i="2"/>
  <c r="G736" i="2" s="1"/>
  <c r="F883" i="7"/>
  <c r="G883" i="7" s="1"/>
  <c r="F1192" i="7"/>
  <c r="F2189" i="7"/>
  <c r="F1344" i="2"/>
  <c r="G1344" i="2" s="1"/>
  <c r="F1190" i="7"/>
  <c r="F689" i="2"/>
  <c r="G689" i="2" s="1"/>
  <c r="F1348" i="2"/>
  <c r="G1348" i="2" s="1"/>
  <c r="F1370" i="2"/>
  <c r="G1370" i="2" s="1"/>
  <c r="F1346" i="2"/>
  <c r="G1346" i="2" s="1"/>
  <c r="G372" i="7"/>
  <c r="F893" i="2" s="1"/>
  <c r="G893" i="2" s="1"/>
  <c r="F2155" i="7"/>
  <c r="G2155" i="7" s="1"/>
  <c r="G2498" i="2" s="1"/>
  <c r="F2172" i="7"/>
  <c r="G2172" i="7" s="1"/>
  <c r="G352" i="7"/>
  <c r="G437" i="7"/>
  <c r="G369" i="7"/>
  <c r="G977" i="7"/>
  <c r="F1647" i="7"/>
  <c r="G1647" i="7" s="1"/>
  <c r="G1651" i="7" s="1"/>
  <c r="F1927" i="7" s="1"/>
  <c r="G1927" i="7" s="1"/>
  <c r="F2444" i="2"/>
  <c r="G2444" i="2" s="1"/>
  <c r="G705" i="2"/>
  <c r="F2106" i="7"/>
  <c r="F2123" i="7"/>
  <c r="G2123" i="7" s="1"/>
  <c r="F1632" i="7"/>
  <c r="G1632" i="7" s="1"/>
  <c r="F2089" i="7"/>
  <c r="G2089" i="7" s="1"/>
  <c r="F1967" i="7"/>
  <c r="G1967" i="7" s="1"/>
  <c r="F2350" i="2"/>
  <c r="G2350" i="2" s="1"/>
  <c r="F2332" i="2"/>
  <c r="G2332" i="2" s="1"/>
  <c r="F1965" i="7"/>
  <c r="G1965" i="7" s="1"/>
  <c r="F2330" i="2"/>
  <c r="G2330" i="2" s="1"/>
  <c r="F2348" i="2"/>
  <c r="G2348" i="2" s="1"/>
  <c r="F1281" i="7"/>
  <c r="G1281" i="7" s="1"/>
  <c r="F2034" i="7"/>
  <c r="F1992" i="7"/>
  <c r="G1992" i="7" s="1"/>
  <c r="F2036" i="7"/>
  <c r="F1994" i="7"/>
  <c r="G1994" i="7" s="1"/>
  <c r="F2008" i="7"/>
  <c r="G2008" i="7" s="1"/>
  <c r="F2021" i="7"/>
  <c r="G2021" i="7" s="1"/>
  <c r="F2006" i="7"/>
  <c r="G2006" i="7" s="1"/>
  <c r="F2019" i="7"/>
  <c r="G2019" i="7" s="1"/>
  <c r="F1808" i="7"/>
  <c r="G1808" i="7" s="1"/>
  <c r="F1923" i="7"/>
  <c r="G1923" i="7" s="1"/>
  <c r="F1893" i="7"/>
  <c r="G1893" i="7" s="1"/>
  <c r="F1810" i="7"/>
  <c r="G1810" i="7" s="1"/>
  <c r="F1895" i="7"/>
  <c r="G1895" i="7" s="1"/>
  <c r="F1925" i="7"/>
  <c r="G1925" i="7" s="1"/>
  <c r="F1429" i="7"/>
  <c r="G1429" i="7" s="1"/>
  <c r="G1435" i="7" s="1"/>
  <c r="F1766" i="7"/>
  <c r="G1766" i="7" s="1"/>
  <c r="F1607" i="2" s="1"/>
  <c r="G1607" i="2" s="1"/>
  <c r="F1795" i="7"/>
  <c r="G1795" i="7" s="1"/>
  <c r="F1780" i="7"/>
  <c r="G1780" i="7" s="1"/>
  <c r="F1764" i="7"/>
  <c r="G1764" i="7" s="1"/>
  <c r="F1793" i="7"/>
  <c r="G1793" i="7" s="1"/>
  <c r="F1778" i="7"/>
  <c r="G1778" i="7" s="1"/>
  <c r="F1619" i="7"/>
  <c r="G1619" i="7" s="1"/>
  <c r="F1606" i="7"/>
  <c r="G1606" i="7" s="1"/>
  <c r="F1953" i="7"/>
  <c r="G1953" i="7" s="1"/>
  <c r="G1955" i="7" s="1"/>
  <c r="F1978" i="7" s="1"/>
  <c r="G1978" i="7" s="1"/>
  <c r="F1608" i="7"/>
  <c r="G1608" i="7" s="1"/>
  <c r="F1621" i="7"/>
  <c r="G1621" i="7" s="1"/>
  <c r="F870" i="7"/>
  <c r="G870" i="7" s="1"/>
  <c r="G670" i="2"/>
  <c r="F271" i="2"/>
  <c r="G271" i="2" s="1"/>
  <c r="F1178" i="7"/>
  <c r="G1178" i="7" s="1"/>
  <c r="F1206" i="7"/>
  <c r="G1206" i="7" s="1"/>
  <c r="F687" i="2"/>
  <c r="G687" i="2" s="1"/>
  <c r="F665" i="2"/>
  <c r="G665" i="2" s="1"/>
  <c r="F867" i="7"/>
  <c r="G867" i="7" s="1"/>
  <c r="F667" i="2"/>
  <c r="G667" i="2" s="1"/>
  <c r="F1176" i="7"/>
  <c r="G1176" i="7" s="1"/>
  <c r="F1204" i="7"/>
  <c r="G1204" i="7" s="1"/>
  <c r="F666" i="7"/>
  <c r="G666" i="7" s="1"/>
  <c r="G671" i="7" s="1"/>
  <c r="F626" i="2"/>
  <c r="G626" i="2" s="1"/>
  <c r="F1164" i="7"/>
  <c r="G1164" i="7" s="1"/>
  <c r="F605" i="2"/>
  <c r="G605" i="2" s="1"/>
  <c r="F865" i="7"/>
  <c r="G865" i="7" s="1"/>
  <c r="F460" i="2"/>
  <c r="G460" i="2" s="1"/>
  <c r="F273" i="2"/>
  <c r="G273" i="2" s="1"/>
  <c r="F420" i="2"/>
  <c r="G420" i="2" s="1"/>
  <c r="F919" i="7"/>
  <c r="G919" i="7" s="1"/>
  <c r="F481" i="2"/>
  <c r="G481" i="2" s="1"/>
  <c r="F320" i="2"/>
  <c r="G320" i="2" s="1"/>
  <c r="G322" i="2" s="1"/>
  <c r="F305" i="2"/>
  <c r="G305" i="2" s="1"/>
  <c r="F624" i="2"/>
  <c r="G624" i="2" s="1"/>
  <c r="G603" i="2"/>
  <c r="F1162" i="7"/>
  <c r="G1162" i="7" s="1"/>
  <c r="F479" i="2"/>
  <c r="G479" i="2" s="1"/>
  <c r="F303" i="2"/>
  <c r="G303" i="2" s="1"/>
  <c r="F458" i="2"/>
  <c r="G458" i="2" s="1"/>
  <c r="G1449" i="7"/>
  <c r="G1452" i="7" s="1"/>
  <c r="F1511" i="7" s="1"/>
  <c r="G1511" i="7" s="1"/>
  <c r="G1515" i="7" s="1"/>
  <c r="G182" i="2"/>
  <c r="F180" i="2"/>
  <c r="G180" i="2" s="1"/>
  <c r="G672" i="7"/>
  <c r="G734" i="7"/>
  <c r="G737" i="7" s="1"/>
  <c r="F1074" i="7" s="1"/>
  <c r="G1074" i="7" s="1"/>
  <c r="G1080" i="7" s="1"/>
  <c r="G136" i="7"/>
  <c r="F921" i="7"/>
  <c r="G921" i="7" s="1"/>
  <c r="F41" i="2"/>
  <c r="G41" i="2" s="1"/>
  <c r="G121" i="7"/>
  <c r="F64" i="2"/>
  <c r="G64" i="2" s="1"/>
  <c r="F39" i="2"/>
  <c r="G39" i="2" s="1"/>
  <c r="G1065" i="7"/>
  <c r="G1066" i="7" s="1"/>
  <c r="F924" i="7" s="1"/>
  <c r="G924" i="7" s="1"/>
  <c r="G335" i="7"/>
  <c r="G284" i="7"/>
  <c r="G1825" i="7" s="1"/>
  <c r="G199" i="7"/>
  <c r="G165" i="7"/>
  <c r="G318" i="7"/>
  <c r="G250" i="7"/>
  <c r="G216" i="7"/>
  <c r="G182" i="7"/>
  <c r="G148" i="7"/>
  <c r="G84" i="7"/>
  <c r="G233" i="7"/>
  <c r="G50" i="7"/>
  <c r="G1014" i="7"/>
  <c r="G1015" i="7" s="1"/>
  <c r="F905" i="7" s="1"/>
  <c r="G905" i="7" s="1"/>
  <c r="G1222" i="7"/>
  <c r="G1223" i="7" s="1"/>
  <c r="G336" i="7"/>
  <c r="G285" i="7"/>
  <c r="G234" i="7"/>
  <c r="F200" i="7"/>
  <c r="G200" i="7" s="1"/>
  <c r="G166" i="7"/>
  <c r="G102" i="7"/>
  <c r="G105" i="7" s="1"/>
  <c r="G51" i="7"/>
  <c r="G319" i="7"/>
  <c r="G217" i="7"/>
  <c r="G149" i="7"/>
  <c r="G85" i="7"/>
  <c r="G939" i="7"/>
  <c r="G251" i="7"/>
  <c r="G183" i="7"/>
  <c r="F1073" i="7"/>
  <c r="G1073" i="7" s="1"/>
  <c r="G1079" i="7" s="1"/>
  <c r="F1128" i="7"/>
  <c r="G1128" i="7" s="1"/>
  <c r="G1132" i="7" s="1"/>
  <c r="F714" i="7"/>
  <c r="G714" i="7" s="1"/>
  <c r="G720" i="7" s="1"/>
  <c r="F849" i="7"/>
  <c r="G849" i="7" s="1"/>
  <c r="G853" i="7" s="1"/>
  <c r="G2536" i="2" l="1"/>
  <c r="F376" i="2"/>
  <c r="G376" i="2" s="1"/>
  <c r="F1750" i="7"/>
  <c r="G1750" i="7" s="1"/>
  <c r="G1754" i="7" s="1"/>
  <c r="F380" i="2" s="1"/>
  <c r="G380" i="2" s="1"/>
  <c r="G758" i="2"/>
  <c r="G942" i="7"/>
  <c r="F1661" i="7" s="1"/>
  <c r="G1661" i="7" s="1"/>
  <c r="F345" i="2"/>
  <c r="G345" i="2" s="1"/>
  <c r="F377" i="2"/>
  <c r="G377" i="2" s="1"/>
  <c r="F1658" i="2"/>
  <c r="G1658" i="2" s="1"/>
  <c r="G1747" i="7"/>
  <c r="G1755" i="7" s="1"/>
  <c r="Q102" i="1"/>
  <c r="F1545" i="2"/>
  <c r="G1545" i="2" s="1"/>
  <c r="F1602" i="2"/>
  <c r="G1602" i="2" s="1"/>
  <c r="G1823" i="7"/>
  <c r="G1827" i="7" s="1"/>
  <c r="G1828" i="7" s="1"/>
  <c r="P252" i="1" s="1"/>
  <c r="Q252" i="1" s="1"/>
  <c r="G3270" i="2"/>
  <c r="B3271" i="2" s="1"/>
  <c r="B3273" i="2" s="1"/>
  <c r="B3274" i="2" s="1"/>
  <c r="P337" i="1" s="1"/>
  <c r="Q337" i="1" s="1"/>
  <c r="F1542" i="2"/>
  <c r="G1542" i="2" s="1"/>
  <c r="F1431" i="2"/>
  <c r="G1431" i="2" s="1"/>
  <c r="F403" i="2"/>
  <c r="G403" i="2" s="1"/>
  <c r="F2603" i="2"/>
  <c r="G2603" i="2" s="1"/>
  <c r="F1409" i="2"/>
  <c r="G1409" i="2" s="1"/>
  <c r="F3101" i="2"/>
  <c r="G3101" i="2" s="1"/>
  <c r="F3063" i="2"/>
  <c r="G3063" i="2" s="1"/>
  <c r="F3043" i="2"/>
  <c r="G3043" i="2" s="1"/>
  <c r="F3024" i="2"/>
  <c r="G3024" i="2" s="1"/>
  <c r="F2622" i="2"/>
  <c r="G2622" i="2" s="1"/>
  <c r="F1598" i="2"/>
  <c r="G1598" i="2" s="1"/>
  <c r="F912" i="2"/>
  <c r="G912" i="2" s="1"/>
  <c r="F14" i="2"/>
  <c r="G14" i="2" s="1"/>
  <c r="F2189" i="2"/>
  <c r="G2189" i="2" s="1"/>
  <c r="F2183" i="2"/>
  <c r="G2183" i="2" s="1"/>
  <c r="F2170" i="2"/>
  <c r="G2170" i="2" s="1"/>
  <c r="F2177" i="2"/>
  <c r="G2177" i="2" s="1"/>
  <c r="F1657" i="2"/>
  <c r="G1657" i="2" s="1"/>
  <c r="G1912" i="7"/>
  <c r="G2015" i="2"/>
  <c r="F1575" i="2"/>
  <c r="G1575" i="2" s="1"/>
  <c r="F1691" i="2"/>
  <c r="G1691" i="2" s="1"/>
  <c r="F1663" i="2"/>
  <c r="G1663" i="2" s="1"/>
  <c r="F1746" i="2"/>
  <c r="G1746" i="2" s="1"/>
  <c r="F1686" i="2"/>
  <c r="G1686" i="2" s="1"/>
  <c r="F1714" i="2"/>
  <c r="G1714" i="2" s="1"/>
  <c r="F1626" i="2"/>
  <c r="G1626" i="2" s="1"/>
  <c r="F339" i="2"/>
  <c r="F1721" i="2"/>
  <c r="G1721" i="2" s="1"/>
  <c r="F1689" i="2"/>
  <c r="G1689" i="2" s="1"/>
  <c r="F1661" i="2"/>
  <c r="G1661" i="2" s="1"/>
  <c r="F1633" i="2"/>
  <c r="G1633" i="2" s="1"/>
  <c r="F1717" i="2"/>
  <c r="G1717" i="2" s="1"/>
  <c r="F1749" i="2"/>
  <c r="G1749" i="2" s="1"/>
  <c r="G1573" i="2"/>
  <c r="F1570" i="2"/>
  <c r="G1570" i="2" s="1"/>
  <c r="F904" i="7"/>
  <c r="G904" i="7" s="1"/>
  <c r="F344" i="2"/>
  <c r="G344" i="2" s="1"/>
  <c r="F902" i="7"/>
  <c r="G902" i="7" s="1"/>
  <c r="F1735" i="7"/>
  <c r="G1735" i="7" s="1"/>
  <c r="F347" i="2"/>
  <c r="G347" i="2" s="1"/>
  <c r="G2078" i="7"/>
  <c r="G474" i="7"/>
  <c r="G494" i="7" s="1"/>
  <c r="G498" i="7" s="1"/>
  <c r="F335" i="2"/>
  <c r="G335" i="2" s="1"/>
  <c r="G338" i="7"/>
  <c r="F923" i="7"/>
  <c r="G923" i="7" s="1"/>
  <c r="F232" i="2"/>
  <c r="G106" i="7"/>
  <c r="G271" i="7"/>
  <c r="G2833" i="2"/>
  <c r="G2154" i="2"/>
  <c r="G777" i="2"/>
  <c r="G959" i="2"/>
  <c r="G790" i="2"/>
  <c r="G930" i="2"/>
  <c r="G940" i="2" s="1"/>
  <c r="G307" i="2"/>
  <c r="G1374" i="2"/>
  <c r="G2221" i="7"/>
  <c r="G2589" i="2"/>
  <c r="G2896" i="2"/>
  <c r="G167" i="2"/>
  <c r="G2553" i="2"/>
  <c r="G2571" i="2"/>
  <c r="G2370" i="2"/>
  <c r="G1896" i="2"/>
  <c r="G1192" i="7"/>
  <c r="F1469" i="2"/>
  <c r="G1469" i="2" s="1"/>
  <c r="G1471" i="2" s="1"/>
  <c r="F1526" i="2"/>
  <c r="G1526" i="2" s="1"/>
  <c r="G1528" i="2" s="1"/>
  <c r="F1507" i="2"/>
  <c r="G1507" i="2" s="1"/>
  <c r="G1509" i="2" s="1"/>
  <c r="G1956" i="2"/>
  <c r="G1878" i="2"/>
  <c r="G1994" i="2"/>
  <c r="F1488" i="2"/>
  <c r="G1488" i="2" s="1"/>
  <c r="G1490" i="2" s="1"/>
  <c r="G889" i="7"/>
  <c r="F1353" i="2" s="1"/>
  <c r="G1353" i="2" s="1"/>
  <c r="G1355" i="2" s="1"/>
  <c r="F887" i="7"/>
  <c r="G887" i="7" s="1"/>
  <c r="F1665" i="7"/>
  <c r="G1665" i="7" s="1"/>
  <c r="G275" i="2"/>
  <c r="G895" i="2"/>
  <c r="G218" i="2"/>
  <c r="G147" i="2"/>
  <c r="G201" i="2"/>
  <c r="G535" i="2"/>
  <c r="G464" i="2"/>
  <c r="F442" i="2"/>
  <c r="G442" i="2" s="1"/>
  <c r="G462" i="2"/>
  <c r="F440" i="2"/>
  <c r="G440" i="2" s="1"/>
  <c r="G1516" i="7"/>
  <c r="F876" i="2"/>
  <c r="G876" i="2" s="1"/>
  <c r="F737" i="2"/>
  <c r="G737" i="2" s="1"/>
  <c r="F873" i="2"/>
  <c r="G873" i="2" s="1"/>
  <c r="F871" i="2"/>
  <c r="G871" i="2" s="1"/>
  <c r="G727" i="2"/>
  <c r="G738" i="2" s="1"/>
  <c r="G2352" i="2"/>
  <c r="G871" i="7"/>
  <c r="G68" i="2" s="1"/>
  <c r="G70" i="2" s="1"/>
  <c r="F418" i="2"/>
  <c r="G418" i="2" s="1"/>
  <c r="G422" i="2" s="1"/>
  <c r="G388" i="7"/>
  <c r="G389" i="7" s="1"/>
  <c r="F886" i="7"/>
  <c r="G886" i="7" s="1"/>
  <c r="G1190" i="7"/>
  <c r="G2189" i="7"/>
  <c r="G692" i="2"/>
  <c r="G2106" i="7"/>
  <c r="F1636" i="7"/>
  <c r="G1636" i="7" s="1"/>
  <c r="G1969" i="7"/>
  <c r="F1980" i="7" s="1"/>
  <c r="G1980" i="7" s="1"/>
  <c r="G1982" i="7" s="1"/>
  <c r="F2252" i="2" s="1"/>
  <c r="G2252" i="2" s="1"/>
  <c r="G1996" i="7"/>
  <c r="G2334" i="2"/>
  <c r="G2034" i="7"/>
  <c r="F2060" i="7"/>
  <c r="G2060" i="7" s="1"/>
  <c r="G2024" i="7"/>
  <c r="F2049" i="7" s="1"/>
  <c r="G2049" i="7" s="1"/>
  <c r="G2010" i="7"/>
  <c r="F1940" i="7" s="1"/>
  <c r="G1940" i="7" s="1"/>
  <c r="F1938" i="7"/>
  <c r="G1938" i="7" s="1"/>
  <c r="F2047" i="7"/>
  <c r="G2047" i="7" s="1"/>
  <c r="G1812" i="7"/>
  <c r="F2308" i="2" s="1"/>
  <c r="G1897" i="7"/>
  <c r="G1929" i="7"/>
  <c r="G1768" i="7"/>
  <c r="G1782" i="7"/>
  <c r="F1604" i="2" s="1"/>
  <c r="G1604" i="2" s="1"/>
  <c r="G1797" i="7"/>
  <c r="G1610" i="7"/>
  <c r="G1623" i="7"/>
  <c r="F869" i="7"/>
  <c r="G869" i="7" s="1"/>
  <c r="F669" i="2"/>
  <c r="G669" i="2" s="1"/>
  <c r="G1208" i="7"/>
  <c r="G674" i="2"/>
  <c r="G1180" i="7"/>
  <c r="G1166" i="7"/>
  <c r="F607" i="2" s="1"/>
  <c r="G607" i="2" s="1"/>
  <c r="G609" i="2" s="1"/>
  <c r="F922" i="7"/>
  <c r="G922" i="7" s="1"/>
  <c r="G925" i="7"/>
  <c r="F483" i="2" s="1"/>
  <c r="G483" i="2" s="1"/>
  <c r="G485" i="2" s="1"/>
  <c r="F419" i="2"/>
  <c r="G419" i="2" s="1"/>
  <c r="G1453" i="7"/>
  <c r="F1430" i="7"/>
  <c r="G1430" i="7" s="1"/>
  <c r="G1436" i="7" s="1"/>
  <c r="F850" i="7"/>
  <c r="G850" i="7" s="1"/>
  <c r="G854" i="7" s="1"/>
  <c r="F443" i="2" s="1"/>
  <c r="G443" i="2" s="1"/>
  <c r="G184" i="2"/>
  <c r="F1129" i="7"/>
  <c r="G1129" i="7" s="1"/>
  <c r="G1133" i="7" s="1"/>
  <c r="G738" i="7"/>
  <c r="F715" i="7"/>
  <c r="G715" i="7" s="1"/>
  <c r="G721" i="7" s="1"/>
  <c r="F441" i="2" s="1"/>
  <c r="G441" i="2" s="1"/>
  <c r="G47" i="2"/>
  <c r="G254" i="7"/>
  <c r="G237" i="7"/>
  <c r="G220" i="7"/>
  <c r="G169" i="7"/>
  <c r="F585" i="2" s="1"/>
  <c r="G585" i="2" s="1"/>
  <c r="G943" i="7"/>
  <c r="G88" i="7"/>
  <c r="F16" i="2" s="1"/>
  <c r="G16" i="2" s="1"/>
  <c r="G203" i="7"/>
  <c r="G152" i="7"/>
  <c r="F374" i="2" s="1"/>
  <c r="G374" i="2" s="1"/>
  <c r="G322" i="7"/>
  <c r="G288" i="7"/>
  <c r="G54" i="7"/>
  <c r="G186" i="7"/>
  <c r="F604" i="2" s="1"/>
  <c r="G339" i="7"/>
  <c r="G1081" i="7"/>
  <c r="F668" i="2" l="1"/>
  <c r="G668" i="2" s="1"/>
  <c r="F1691" i="7"/>
  <c r="G1691" i="7" s="1"/>
  <c r="G1697" i="7" s="1"/>
  <c r="F1706" i="7"/>
  <c r="G1706" i="7" s="1"/>
  <c r="G1712" i="7" s="1"/>
  <c r="F346" i="2" s="1"/>
  <c r="G346" i="2" s="1"/>
  <c r="F868" i="7"/>
  <c r="G868" i="7" s="1"/>
  <c r="F338" i="2"/>
  <c r="F370" i="2"/>
  <c r="G370" i="2" s="1"/>
  <c r="F1546" i="2"/>
  <c r="G1546" i="2" s="1"/>
  <c r="F372" i="2"/>
  <c r="F378" i="2"/>
  <c r="G378" i="2" s="1"/>
  <c r="F1407" i="2"/>
  <c r="G1407" i="2" s="1"/>
  <c r="G1415" i="2" s="1"/>
  <c r="G1416" i="2" s="1"/>
  <c r="B1417" i="2" s="1"/>
  <c r="B1419" i="2" s="1"/>
  <c r="B1420" i="2" s="1"/>
  <c r="P109" i="1" s="1"/>
  <c r="F910" i="2"/>
  <c r="G910" i="2" s="1"/>
  <c r="F1600" i="2"/>
  <c r="G1600" i="2" s="1"/>
  <c r="F1429" i="2"/>
  <c r="G1429" i="2" s="1"/>
  <c r="G1435" i="2" s="1"/>
  <c r="B1436" i="2" s="1"/>
  <c r="B1438" i="2" s="1"/>
  <c r="B1439" i="2" s="1"/>
  <c r="F401" i="2"/>
  <c r="G401" i="2" s="1"/>
  <c r="G407" i="2" s="1"/>
  <c r="B408" i="2" s="1"/>
  <c r="B410" i="2" s="1"/>
  <c r="B411" i="2" s="1"/>
  <c r="P62" i="1" s="1"/>
  <c r="Q62" i="1" s="1"/>
  <c r="F1544" i="2"/>
  <c r="G1544" i="2" s="1"/>
  <c r="F12" i="2"/>
  <c r="G12" i="2" s="1"/>
  <c r="F2168" i="2"/>
  <c r="G2168" i="2" s="1"/>
  <c r="F1086" i="2"/>
  <c r="G1086" i="2" s="1"/>
  <c r="F3099" i="2"/>
  <c r="G3099" i="2" s="1"/>
  <c r="G3103" i="2" s="1"/>
  <c r="F3061" i="2"/>
  <c r="G3061" i="2" s="1"/>
  <c r="G3065" i="2" s="1"/>
  <c r="F3041" i="2"/>
  <c r="G3041" i="2" s="1"/>
  <c r="G3045" i="2" s="1"/>
  <c r="F3022" i="2"/>
  <c r="G3022" i="2" s="1"/>
  <c r="G3026" i="2" s="1"/>
  <c r="F1158" i="2"/>
  <c r="G1158" i="2" s="1"/>
  <c r="F1177" i="2"/>
  <c r="G1177" i="2" s="1"/>
  <c r="F2726" i="2"/>
  <c r="G2726" i="2" s="1"/>
  <c r="F1215" i="2"/>
  <c r="G1215" i="2" s="1"/>
  <c r="F2624" i="2"/>
  <c r="G2624" i="2" s="1"/>
  <c r="G2630" i="2" s="1"/>
  <c r="F2645" i="2" s="1"/>
  <c r="F2811" i="2"/>
  <c r="F1234" i="2"/>
  <c r="G1234" i="2" s="1"/>
  <c r="F2605" i="2"/>
  <c r="G2605" i="2" s="1"/>
  <c r="G2609" i="2" s="1"/>
  <c r="F2643" i="2" s="1"/>
  <c r="F2789" i="2"/>
  <c r="G2789" i="2" s="1"/>
  <c r="F1253" i="2"/>
  <c r="G1253" i="2" s="1"/>
  <c r="F1196" i="2"/>
  <c r="G1196" i="2" s="1"/>
  <c r="F1067" i="2"/>
  <c r="G1067" i="2" s="1"/>
  <c r="F995" i="2"/>
  <c r="G995" i="2" s="1"/>
  <c r="F1120" i="2"/>
  <c r="G1120" i="2" s="1"/>
  <c r="F1046" i="2"/>
  <c r="G1046" i="2" s="1"/>
  <c r="F1139" i="2"/>
  <c r="G1139" i="2" s="1"/>
  <c r="F976" i="2"/>
  <c r="G976" i="2" s="1"/>
  <c r="F10" i="2"/>
  <c r="G10" i="2" s="1"/>
  <c r="F2181" i="2"/>
  <c r="G2181" i="2" s="1"/>
  <c r="F2175" i="2"/>
  <c r="G2175" i="2" s="1"/>
  <c r="F1137" i="2"/>
  <c r="G1137" i="2" s="1"/>
  <c r="F1251" i="2"/>
  <c r="G1251" i="2" s="1"/>
  <c r="F1232" i="2"/>
  <c r="G1232" i="2" s="1"/>
  <c r="F1213" i="2"/>
  <c r="G1213" i="2" s="1"/>
  <c r="G1219" i="2" s="1"/>
  <c r="F1194" i="2"/>
  <c r="G1194" i="2" s="1"/>
  <c r="F1065" i="2"/>
  <c r="G1065" i="2" s="1"/>
  <c r="F1156" i="2"/>
  <c r="G1156" i="2" s="1"/>
  <c r="F1084" i="2"/>
  <c r="G1084" i="2" s="1"/>
  <c r="G1090" i="2" s="1"/>
  <c r="F2724" i="2"/>
  <c r="G2724" i="2" s="1"/>
  <c r="F2787" i="2"/>
  <c r="G2787" i="2" s="1"/>
  <c r="F1175" i="2"/>
  <c r="G1175" i="2" s="1"/>
  <c r="F2788" i="2"/>
  <c r="F1085" i="2"/>
  <c r="G1085" i="2" s="1"/>
  <c r="G1089" i="2" s="1"/>
  <c r="F3098" i="2"/>
  <c r="G3098" i="2" s="1"/>
  <c r="G3102" i="2" s="1"/>
  <c r="F3060" i="2"/>
  <c r="G3060" i="2" s="1"/>
  <c r="G3064" i="2" s="1"/>
  <c r="F3040" i="2"/>
  <c r="G3040" i="2" s="1"/>
  <c r="G3044" i="2" s="1"/>
  <c r="F3021" i="2"/>
  <c r="G3021" i="2" s="1"/>
  <c r="G3025" i="2" s="1"/>
  <c r="F1233" i="2"/>
  <c r="G1233" i="2" s="1"/>
  <c r="G1237" i="2" s="1"/>
  <c r="F1195" i="2"/>
  <c r="G1195" i="2" s="1"/>
  <c r="G1199" i="2" s="1"/>
  <c r="F1176" i="2"/>
  <c r="G1176" i="2" s="1"/>
  <c r="G1180" i="2" s="1"/>
  <c r="F2623" i="2"/>
  <c r="G2623" i="2" s="1"/>
  <c r="G2629" i="2" s="1"/>
  <c r="F1157" i="2"/>
  <c r="G1157" i="2" s="1"/>
  <c r="G1161" i="2" s="1"/>
  <c r="F2725" i="2"/>
  <c r="G2725" i="2" s="1"/>
  <c r="G2732" i="2" s="1"/>
  <c r="F1252" i="2"/>
  <c r="G1252" i="2" s="1"/>
  <c r="G1256" i="2" s="1"/>
  <c r="F1214" i="2"/>
  <c r="G1214" i="2" s="1"/>
  <c r="G1218" i="2" s="1"/>
  <c r="F1066" i="2"/>
  <c r="G1066" i="2" s="1"/>
  <c r="G1070" i="2" s="1"/>
  <c r="F2604" i="2"/>
  <c r="G2604" i="2" s="1"/>
  <c r="G2608" i="2" s="1"/>
  <c r="F975" i="2"/>
  <c r="G975" i="2" s="1"/>
  <c r="G979" i="2" s="1"/>
  <c r="F1045" i="2"/>
  <c r="G1045" i="2" s="1"/>
  <c r="G1051" i="2" s="1"/>
  <c r="F1119" i="2"/>
  <c r="G1119" i="2" s="1"/>
  <c r="G1123" i="2" s="1"/>
  <c r="F1138" i="2"/>
  <c r="G1138" i="2" s="1"/>
  <c r="G1142" i="2" s="1"/>
  <c r="F994" i="2"/>
  <c r="G994" i="2" s="1"/>
  <c r="G998" i="2" s="1"/>
  <c r="F9" i="2"/>
  <c r="G9" i="2" s="1"/>
  <c r="G27" i="2" s="1"/>
  <c r="F2174" i="2"/>
  <c r="G2174" i="2" s="1"/>
  <c r="F2180" i="2"/>
  <c r="G2180" i="2" s="1"/>
  <c r="G2788" i="2"/>
  <c r="G2790" i="2" s="1"/>
  <c r="F993" i="2"/>
  <c r="G993" i="2" s="1"/>
  <c r="G999" i="2" s="1"/>
  <c r="F1044" i="2"/>
  <c r="G1044" i="2" s="1"/>
  <c r="F1118" i="2"/>
  <c r="G1118" i="2" s="1"/>
  <c r="F974" i="2"/>
  <c r="G974" i="2" s="1"/>
  <c r="F8" i="2"/>
  <c r="G8" i="2" s="1"/>
  <c r="F2133" i="2"/>
  <c r="G2133" i="2" s="1"/>
  <c r="G2136" i="2" s="1"/>
  <c r="F2409" i="2"/>
  <c r="G2409" i="2" s="1"/>
  <c r="F2850" i="2"/>
  <c r="G2850" i="2" s="1"/>
  <c r="F2411" i="2"/>
  <c r="G2411" i="2" s="1"/>
  <c r="F2010" i="2"/>
  <c r="G2010" i="2" s="1"/>
  <c r="F1911" i="7"/>
  <c r="G1911" i="7" s="1"/>
  <c r="F270" i="2"/>
  <c r="G270" i="2" s="1"/>
  <c r="F1909" i="7"/>
  <c r="G1909" i="7" s="1"/>
  <c r="F1752" i="2"/>
  <c r="G1752" i="2" s="1"/>
  <c r="F1720" i="2"/>
  <c r="G1720" i="2" s="1"/>
  <c r="G1668" i="7"/>
  <c r="F1574" i="2" s="1"/>
  <c r="G1574" i="2" s="1"/>
  <c r="F1688" i="2"/>
  <c r="G1688" i="2" s="1"/>
  <c r="F1716" i="2"/>
  <c r="G1716" i="2" s="1"/>
  <c r="F1748" i="2"/>
  <c r="G1748" i="2" s="1"/>
  <c r="G1765" i="2" s="1"/>
  <c r="G1766" i="2" s="1"/>
  <c r="B1767" i="2" s="1"/>
  <c r="B1769" i="2" s="1"/>
  <c r="B1770" i="2" s="1"/>
  <c r="P221" i="1" s="1"/>
  <c r="F1628" i="2"/>
  <c r="G1628" i="2" s="1"/>
  <c r="F1690" i="2"/>
  <c r="G1690" i="2" s="1"/>
  <c r="F1722" i="2"/>
  <c r="G1722" i="2" s="1"/>
  <c r="F1662" i="2"/>
  <c r="G1662" i="2" s="1"/>
  <c r="F1634" i="2"/>
  <c r="G1634" i="2" s="1"/>
  <c r="F1733" i="7"/>
  <c r="G1733" i="7" s="1"/>
  <c r="G1739" i="7" s="1"/>
  <c r="F1572" i="2"/>
  <c r="G1572" i="2" s="1"/>
  <c r="G221" i="7"/>
  <c r="F728" i="2"/>
  <c r="F2410" i="2"/>
  <c r="G2410" i="2" s="1"/>
  <c r="G2414" i="2" s="1"/>
  <c r="G908" i="7"/>
  <c r="F1634" i="7"/>
  <c r="G1634" i="7" s="1"/>
  <c r="F2191" i="7"/>
  <c r="F2174" i="7"/>
  <c r="F1595" i="7"/>
  <c r="F2810" i="2"/>
  <c r="G2810" i="2" s="1"/>
  <c r="G2814" i="2" s="1"/>
  <c r="F754" i="2"/>
  <c r="G754" i="2" s="1"/>
  <c r="F342" i="2"/>
  <c r="G342" i="2" s="1"/>
  <c r="F3307" i="2"/>
  <c r="G3307" i="2" s="1"/>
  <c r="G3309" i="2" s="1"/>
  <c r="F2140" i="7"/>
  <c r="G2140" i="7" s="1"/>
  <c r="F2442" i="2"/>
  <c r="G2442" i="2" s="1"/>
  <c r="G2446" i="2" s="1"/>
  <c r="F3203" i="2"/>
  <c r="G3203" i="2" s="1"/>
  <c r="G3207" i="2" s="1"/>
  <c r="F2983" i="2"/>
  <c r="G2983" i="2" s="1"/>
  <c r="F3289" i="2"/>
  <c r="G3289" i="2" s="1"/>
  <c r="G3291" i="2" s="1"/>
  <c r="F2461" i="2"/>
  <c r="G2461" i="2" s="1"/>
  <c r="G2483" i="2" s="1"/>
  <c r="G3239" i="2"/>
  <c r="G3245" i="2" s="1"/>
  <c r="F2238" i="7"/>
  <c r="G2238" i="7" s="1"/>
  <c r="G2240" i="7" s="1"/>
  <c r="G2911" i="2" s="1"/>
  <c r="G1713" i="7"/>
  <c r="F340" i="2"/>
  <c r="G1698" i="7"/>
  <c r="G499" i="7"/>
  <c r="G338" i="2"/>
  <c r="G272" i="7"/>
  <c r="F549" i="2"/>
  <c r="G549" i="2" s="1"/>
  <c r="G553" i="2" s="1"/>
  <c r="F2125" i="7"/>
  <c r="G2125" i="7" s="1"/>
  <c r="G2127" i="7" s="1"/>
  <c r="G2387" i="2" s="1"/>
  <c r="F2142" i="7"/>
  <c r="G2142" i="7" s="1"/>
  <c r="G2144" i="7" s="1"/>
  <c r="G2389" i="2" s="1"/>
  <c r="G2849" i="2"/>
  <c r="F2091" i="7"/>
  <c r="G2091" i="7" s="1"/>
  <c r="G2093" i="7" s="1"/>
  <c r="G2383" i="2" s="1"/>
  <c r="G3220" i="2"/>
  <c r="G3226" i="2" s="1"/>
  <c r="F2223" i="7"/>
  <c r="G2223" i="7" s="1"/>
  <c r="G2225" i="7" s="1"/>
  <c r="F2208" i="7"/>
  <c r="G2208" i="7" s="1"/>
  <c r="G2210" i="7" s="1"/>
  <c r="F3079" i="2"/>
  <c r="G3079" i="2" s="1"/>
  <c r="G3083" i="2" s="1"/>
  <c r="F2108" i="7"/>
  <c r="F2157" i="7"/>
  <c r="G2157" i="7" s="1"/>
  <c r="G2159" i="7" s="1"/>
  <c r="F2847" i="2"/>
  <c r="G2847" i="2" s="1"/>
  <c r="F2496" i="2"/>
  <c r="G2496" i="2" s="1"/>
  <c r="G2503" i="2" s="1"/>
  <c r="F3149" i="2"/>
  <c r="G3149" i="2" s="1"/>
  <c r="G3157" i="2" s="1"/>
  <c r="F2253" i="7"/>
  <c r="G2253" i="7" s="1"/>
  <c r="G2255" i="7" s="1"/>
  <c r="F2913" i="2" s="1"/>
  <c r="G2913" i="2" s="1"/>
  <c r="F2767" i="2"/>
  <c r="G2767" i="2" s="1"/>
  <c r="G2769" i="2" s="1"/>
  <c r="F2008" i="2"/>
  <c r="G2008" i="2" s="1"/>
  <c r="F772" i="2"/>
  <c r="G772" i="2" s="1"/>
  <c r="F2075" i="7"/>
  <c r="G2075" i="7" s="1"/>
  <c r="F2150" i="2"/>
  <c r="G2150" i="2" s="1"/>
  <c r="F2130" i="2"/>
  <c r="G2130" i="2" s="1"/>
  <c r="F2830" i="2"/>
  <c r="G2830" i="2" s="1"/>
  <c r="F2152" i="2"/>
  <c r="G2152" i="2" s="1"/>
  <c r="F2132" i="2"/>
  <c r="G2132" i="2" s="1"/>
  <c r="F933" i="2"/>
  <c r="F774" i="2"/>
  <c r="G774" i="2" s="1"/>
  <c r="F2709" i="2"/>
  <c r="G2709" i="2" s="1"/>
  <c r="G2711" i="2" s="1"/>
  <c r="F2693" i="2"/>
  <c r="G2693" i="2" s="1"/>
  <c r="G2695" i="2" s="1"/>
  <c r="G2696" i="2" s="1"/>
  <c r="B2697" i="2" s="1"/>
  <c r="B2699" i="2" s="1"/>
  <c r="B2700" i="2" s="1"/>
  <c r="P261" i="1" s="1"/>
  <c r="F1270" i="2"/>
  <c r="G1270" i="2" s="1"/>
  <c r="F2048" i="2"/>
  <c r="G2048" i="2" s="1"/>
  <c r="F791" i="2"/>
  <c r="G791" i="2" s="1"/>
  <c r="F931" i="2"/>
  <c r="G931" i="2" s="1"/>
  <c r="F1326" i="2"/>
  <c r="G1326" i="2" s="1"/>
  <c r="G1332" i="2" s="1"/>
  <c r="G1333" i="2" s="1"/>
  <c r="B1334" i="2" s="1"/>
  <c r="B1336" i="2" s="1"/>
  <c r="B1337" i="2" s="1"/>
  <c r="P80" i="1" s="1"/>
  <c r="F1307" i="2"/>
  <c r="G1307" i="2" s="1"/>
  <c r="G1313" i="2" s="1"/>
  <c r="G1314" i="2" s="1"/>
  <c r="B1315" i="2" s="1"/>
  <c r="B1317" i="2" s="1"/>
  <c r="B1318" i="2" s="1"/>
  <c r="F752" i="2"/>
  <c r="G752" i="2" s="1"/>
  <c r="F1288" i="2"/>
  <c r="G1288" i="2" s="1"/>
  <c r="G1294" i="2" s="1"/>
  <c r="G1295" i="2" s="1"/>
  <c r="B1296" i="2" s="1"/>
  <c r="B1298" i="2" s="1"/>
  <c r="B1299" i="2" s="1"/>
  <c r="F954" i="2"/>
  <c r="G954" i="2" s="1"/>
  <c r="F2832" i="2"/>
  <c r="G2832" i="2" s="1"/>
  <c r="F2893" i="2"/>
  <c r="F956" i="2"/>
  <c r="G956" i="2" s="1"/>
  <c r="F166" i="2"/>
  <c r="G166" i="2" s="1"/>
  <c r="F2895" i="2"/>
  <c r="G2895" i="2" s="1"/>
  <c r="F2768" i="2"/>
  <c r="G2768" i="2" s="1"/>
  <c r="F2254" i="7"/>
  <c r="G2254" i="7" s="1"/>
  <c r="F2239" i="7"/>
  <c r="G2239" i="7" s="1"/>
  <c r="F2224" i="7"/>
  <c r="F2252" i="7"/>
  <c r="G2252" i="7" s="1"/>
  <c r="F2237" i="7"/>
  <c r="G2237" i="7" s="1"/>
  <c r="F2222" i="7"/>
  <c r="G2222" i="7" s="1"/>
  <c r="F2497" i="2"/>
  <c r="G2497" i="2" s="1"/>
  <c r="F3204" i="2"/>
  <c r="G3204" i="2" s="1"/>
  <c r="F3150" i="2"/>
  <c r="G3150" i="2" s="1"/>
  <c r="F644" i="2"/>
  <c r="G644" i="2" s="1"/>
  <c r="F164" i="2"/>
  <c r="G164" i="2" s="1"/>
  <c r="F67" i="2"/>
  <c r="G67" i="2" s="1"/>
  <c r="F3206" i="2"/>
  <c r="G3206" i="2" s="1"/>
  <c r="F3152" i="2"/>
  <c r="G3152" i="2" s="1"/>
  <c r="F2567" i="2"/>
  <c r="G2567" i="2" s="1"/>
  <c r="F2501" i="2"/>
  <c r="G2501" i="2" s="1"/>
  <c r="F2585" i="2"/>
  <c r="G2585" i="2" s="1"/>
  <c r="F2549" i="2"/>
  <c r="G2549" i="2" s="1"/>
  <c r="G1194" i="7"/>
  <c r="F2569" i="2"/>
  <c r="G2569" i="2" s="1"/>
  <c r="F2587" i="2"/>
  <c r="G2587" i="2" s="1"/>
  <c r="F2551" i="2"/>
  <c r="G2551" i="2" s="1"/>
  <c r="F2517" i="2"/>
  <c r="G2517" i="2" s="1"/>
  <c r="G2520" i="2" s="1"/>
  <c r="G2521" i="2" s="1"/>
  <c r="B2522" i="2" s="1"/>
  <c r="F2369" i="2"/>
  <c r="G2369" i="2" s="1"/>
  <c r="F2077" i="7"/>
  <c r="G2077" i="7" s="1"/>
  <c r="F1506" i="2"/>
  <c r="G1506" i="2" s="1"/>
  <c r="F1525" i="2"/>
  <c r="G1525" i="2" s="1"/>
  <c r="F3308" i="2"/>
  <c r="G3308" i="2" s="1"/>
  <c r="F3290" i="2"/>
  <c r="G3290" i="2" s="1"/>
  <c r="F3080" i="2"/>
  <c r="G3080" i="2" s="1"/>
  <c r="F2367" i="2"/>
  <c r="G2367" i="2" s="1"/>
  <c r="G238" i="7"/>
  <c r="F1894" i="2"/>
  <c r="G1894" i="2" s="1"/>
  <c r="F1954" i="2"/>
  <c r="G1954" i="2" s="1"/>
  <c r="F1876" i="2"/>
  <c r="G1876" i="2" s="1"/>
  <c r="F1992" i="2"/>
  <c r="G1992" i="2" s="1"/>
  <c r="F1485" i="2"/>
  <c r="G1485" i="2" s="1"/>
  <c r="F3082" i="2"/>
  <c r="G3082" i="2" s="1"/>
  <c r="F1523" i="2"/>
  <c r="G1523" i="2" s="1"/>
  <c r="F1892" i="2"/>
  <c r="G1892" i="2" s="1"/>
  <c r="F1679" i="7"/>
  <c r="G1679" i="7" s="1"/>
  <c r="G1681" i="7" s="1"/>
  <c r="F2093" i="2"/>
  <c r="G2093" i="2" s="1"/>
  <c r="F2066" i="2"/>
  <c r="G2066" i="2" s="1"/>
  <c r="F2029" i="2"/>
  <c r="G2029" i="2" s="1"/>
  <c r="F1952" i="2"/>
  <c r="G1952" i="2" s="1"/>
  <c r="F1874" i="2"/>
  <c r="G1874" i="2" s="1"/>
  <c r="F1504" i="2"/>
  <c r="G1504" i="2" s="1"/>
  <c r="F1990" i="2"/>
  <c r="G1990" i="2" s="1"/>
  <c r="F2114" i="2"/>
  <c r="G2114" i="2" s="1"/>
  <c r="G2117" i="2" s="1"/>
  <c r="G2118" i="2" s="1"/>
  <c r="B2119" i="2" s="1"/>
  <c r="F1594" i="7"/>
  <c r="G1594" i="7" s="1"/>
  <c r="F3288" i="2"/>
  <c r="G3288" i="2" s="1"/>
  <c r="F3306" i="2"/>
  <c r="G3306" i="2" s="1"/>
  <c r="F1465" i="2"/>
  <c r="G1465" i="2" s="1"/>
  <c r="F1487" i="2"/>
  <c r="G1487" i="2" s="1"/>
  <c r="F1446" i="2"/>
  <c r="F499" i="2"/>
  <c r="G499" i="2" s="1"/>
  <c r="G501" i="2" s="1"/>
  <c r="F1387" i="2"/>
  <c r="G1387" i="2" s="1"/>
  <c r="G1393" i="2" s="1"/>
  <c r="F646" i="2"/>
  <c r="G646" i="2" s="1"/>
  <c r="F1390" i="2"/>
  <c r="G1390" i="2" s="1"/>
  <c r="F587" i="2"/>
  <c r="G587" i="2" s="1"/>
  <c r="G589" i="2" s="1"/>
  <c r="G590" i="2" s="1"/>
  <c r="B591" i="2" s="1"/>
  <c r="F1463" i="2"/>
  <c r="G1463" i="2" s="1"/>
  <c r="F2984" i="2"/>
  <c r="G2984" i="2" s="1"/>
  <c r="F550" i="2"/>
  <c r="G550" i="2" s="1"/>
  <c r="F2443" i="2"/>
  <c r="F2848" i="2"/>
  <c r="F793" i="2"/>
  <c r="G793" i="2" s="1"/>
  <c r="G795" i="2" s="1"/>
  <c r="F892" i="2"/>
  <c r="G892" i="2" s="1"/>
  <c r="F146" i="2"/>
  <c r="G146" i="2" s="1"/>
  <c r="G232" i="2"/>
  <c r="G234" i="2" s="1"/>
  <c r="G235" i="2" s="1"/>
  <c r="B236" i="2" s="1"/>
  <c r="F217" i="2"/>
  <c r="G217" i="2" s="1"/>
  <c r="F200" i="2"/>
  <c r="G200" i="2" s="1"/>
  <c r="F247" i="2"/>
  <c r="G247" i="2" s="1"/>
  <c r="G249" i="2" s="1"/>
  <c r="G250" i="2" s="1"/>
  <c r="B251" i="2" s="1"/>
  <c r="F552" i="2"/>
  <c r="G552" i="2" s="1"/>
  <c r="F568" i="2"/>
  <c r="G568" i="2" s="1"/>
  <c r="G570" i="2" s="1"/>
  <c r="G571" i="2" s="1"/>
  <c r="B572" i="2" s="1"/>
  <c r="F144" i="2"/>
  <c r="G144" i="2" s="1"/>
  <c r="F437" i="2"/>
  <c r="G437" i="2" s="1"/>
  <c r="F215" i="2"/>
  <c r="G215" i="2" s="1"/>
  <c r="F198" i="2"/>
  <c r="G198" i="2" s="1"/>
  <c r="F1369" i="2"/>
  <c r="G1369" i="2" s="1"/>
  <c r="G751" i="7"/>
  <c r="G754" i="7" s="1"/>
  <c r="G444" i="2"/>
  <c r="G466" i="2"/>
  <c r="F534" i="2"/>
  <c r="G534" i="2" s="1"/>
  <c r="F516" i="2"/>
  <c r="G516" i="2" s="1"/>
  <c r="G518" i="2" s="1"/>
  <c r="G519" i="2" s="1"/>
  <c r="B520" i="2" s="1"/>
  <c r="F289" i="2"/>
  <c r="G289" i="2" s="1"/>
  <c r="G291" i="2" s="1"/>
  <c r="G292" i="2" s="1"/>
  <c r="B293" i="2" s="1"/>
  <c r="F439" i="2"/>
  <c r="G439" i="2" s="1"/>
  <c r="F2876" i="2"/>
  <c r="G2876" i="2" s="1"/>
  <c r="F2813" i="2"/>
  <c r="G2813" i="2" s="1"/>
  <c r="F2207" i="7"/>
  <c r="G2207" i="7" s="1"/>
  <c r="F870" i="2"/>
  <c r="G870" i="2" s="1"/>
  <c r="F827" i="2"/>
  <c r="G827" i="2" s="1"/>
  <c r="F726" i="2"/>
  <c r="G726" i="2" s="1"/>
  <c r="F809" i="2"/>
  <c r="G809" i="2" s="1"/>
  <c r="F3005" i="2"/>
  <c r="G3005" i="2" s="1"/>
  <c r="F2986" i="2"/>
  <c r="G2986" i="2" s="1"/>
  <c r="G1437" i="7"/>
  <c r="F874" i="2"/>
  <c r="G874" i="2" s="1"/>
  <c r="F2209" i="7"/>
  <c r="G2209" i="7" s="1"/>
  <c r="G877" i="2"/>
  <c r="G673" i="7"/>
  <c r="F884" i="7"/>
  <c r="G884" i="7" s="1"/>
  <c r="G890" i="7" s="1"/>
  <c r="F1191" i="7"/>
  <c r="G1191" i="7" s="1"/>
  <c r="G707" i="2"/>
  <c r="F1193" i="7"/>
  <c r="G1193" i="7" s="1"/>
  <c r="F2190" i="7"/>
  <c r="G2190" i="7" s="1"/>
  <c r="F1345" i="2"/>
  <c r="G1345" i="2" s="1"/>
  <c r="F690" i="2"/>
  <c r="G690" i="2" s="1"/>
  <c r="F1349" i="2"/>
  <c r="G1349" i="2" s="1"/>
  <c r="F1371" i="2"/>
  <c r="G1371" i="2" s="1"/>
  <c r="F1347" i="2"/>
  <c r="G1347" i="2" s="1"/>
  <c r="F2175" i="7"/>
  <c r="G2175" i="7" s="1"/>
  <c r="F2192" i="7"/>
  <c r="G2192" i="7" s="1"/>
  <c r="F2156" i="7"/>
  <c r="G2156" i="7" s="1"/>
  <c r="F2173" i="7"/>
  <c r="G2173" i="7" s="1"/>
  <c r="F2143" i="7"/>
  <c r="F2158" i="7"/>
  <c r="G2158" i="7" s="1"/>
  <c r="G55" i="7"/>
  <c r="G68" i="7" s="1"/>
  <c r="G978" i="7"/>
  <c r="G981" i="7" s="1"/>
  <c r="F1596" i="7"/>
  <c r="G1596" i="7" s="1"/>
  <c r="F2462" i="2"/>
  <c r="G2462" i="2" s="1"/>
  <c r="F1648" i="7"/>
  <c r="G1648" i="7" s="1"/>
  <c r="G1652" i="7" s="1"/>
  <c r="F1928" i="7" s="1"/>
  <c r="G1928" i="7" s="1"/>
  <c r="F2445" i="2"/>
  <c r="G2445" i="2" s="1"/>
  <c r="F706" i="2"/>
  <c r="G706" i="2" s="1"/>
  <c r="F2141" i="7"/>
  <c r="G2141" i="7" s="1"/>
  <c r="F2109" i="7"/>
  <c r="G2109" i="7" s="1"/>
  <c r="F2126" i="7"/>
  <c r="G2126" i="7" s="1"/>
  <c r="F2090" i="7"/>
  <c r="G2090" i="7" s="1"/>
  <c r="F2124" i="7"/>
  <c r="G2124" i="7" s="1"/>
  <c r="F2107" i="7"/>
  <c r="G2107" i="7" s="1"/>
  <c r="F1635" i="7"/>
  <c r="G1635" i="7" s="1"/>
  <c r="F2092" i="7"/>
  <c r="G2092" i="7" s="1"/>
  <c r="F1966" i="7"/>
  <c r="G1966" i="7" s="1"/>
  <c r="F2331" i="2"/>
  <c r="G2331" i="2" s="1"/>
  <c r="F2349" i="2"/>
  <c r="G2349" i="2" s="1"/>
  <c r="F1968" i="7"/>
  <c r="G1968" i="7" s="1"/>
  <c r="F2351" i="2"/>
  <c r="G2351" i="2" s="1"/>
  <c r="F2333" i="2"/>
  <c r="G2333" i="2" s="1"/>
  <c r="G2051" i="7"/>
  <c r="F2283" i="2" s="1"/>
  <c r="G2283" i="2" s="1"/>
  <c r="F2035" i="7"/>
  <c r="F1993" i="7"/>
  <c r="G1993" i="7" s="1"/>
  <c r="F2037" i="7"/>
  <c r="G2037" i="7" s="1"/>
  <c r="F1995" i="7"/>
  <c r="G1995" i="7" s="1"/>
  <c r="F2269" i="2"/>
  <c r="G2269" i="2" s="1"/>
  <c r="F2238" i="2"/>
  <c r="G2238" i="2" s="1"/>
  <c r="F2300" i="2"/>
  <c r="G2300" i="2" s="1"/>
  <c r="F2242" i="2"/>
  <c r="G2242" i="2" s="1"/>
  <c r="F2304" i="2"/>
  <c r="F2250" i="2"/>
  <c r="G2250" i="2" s="1"/>
  <c r="F2312" i="2"/>
  <c r="F2244" i="2"/>
  <c r="G2244" i="2" s="1"/>
  <c r="F2306" i="2"/>
  <c r="F2236" i="2"/>
  <c r="G2236" i="2" s="1"/>
  <c r="F2298" i="2"/>
  <c r="G2298" i="2" s="1"/>
  <c r="F2246" i="2"/>
  <c r="G2246" i="2" s="1"/>
  <c r="F2279" i="2"/>
  <c r="G2279" i="2" s="1"/>
  <c r="F2248" i="2"/>
  <c r="G2248" i="2" s="1"/>
  <c r="F2310" i="2"/>
  <c r="G1942" i="7"/>
  <c r="F2221" i="2" s="1"/>
  <c r="G2221" i="2" s="1"/>
  <c r="F2217" i="2"/>
  <c r="G2217" i="2" s="1"/>
  <c r="F2009" i="7"/>
  <c r="G2009" i="7" s="1"/>
  <c r="F2022" i="7"/>
  <c r="G2022" i="7" s="1"/>
  <c r="F2205" i="2"/>
  <c r="G2205" i="2" s="1"/>
  <c r="F2267" i="2"/>
  <c r="G2267" i="2" s="1"/>
  <c r="F2211" i="2"/>
  <c r="G2211" i="2" s="1"/>
  <c r="F2273" i="2"/>
  <c r="G2273" i="2" s="1"/>
  <c r="F2219" i="2"/>
  <c r="G2219" i="2" s="1"/>
  <c r="F2281" i="2"/>
  <c r="F2215" i="2"/>
  <c r="G2215" i="2" s="1"/>
  <c r="F2277" i="2"/>
  <c r="G2277" i="2" s="1"/>
  <c r="F2007" i="7"/>
  <c r="G2007" i="7" s="1"/>
  <c r="F2020" i="7"/>
  <c r="G2020" i="7" s="1"/>
  <c r="F2213" i="2"/>
  <c r="G2213" i="2" s="1"/>
  <c r="F2275" i="2"/>
  <c r="G2275" i="2" s="1"/>
  <c r="F1809" i="7"/>
  <c r="G1809" i="7" s="1"/>
  <c r="F1924" i="7"/>
  <c r="G1924" i="7" s="1"/>
  <c r="F1894" i="7"/>
  <c r="G1894" i="7" s="1"/>
  <c r="F1811" i="7"/>
  <c r="G1811" i="7" s="1"/>
  <c r="F1926" i="7"/>
  <c r="G1926" i="7" s="1"/>
  <c r="F1896" i="7"/>
  <c r="G1896" i="7" s="1"/>
  <c r="F1765" i="7"/>
  <c r="G1765" i="7" s="1"/>
  <c r="F1794" i="7"/>
  <c r="G1794" i="7" s="1"/>
  <c r="F1779" i="7"/>
  <c r="G1779" i="7" s="1"/>
  <c r="F1767" i="7"/>
  <c r="G1767" i="7" s="1"/>
  <c r="F1608" i="2" s="1"/>
  <c r="G1608" i="2" s="1"/>
  <c r="F1796" i="7"/>
  <c r="G1796" i="7" s="1"/>
  <c r="F1781" i="7"/>
  <c r="G1781" i="7" s="1"/>
  <c r="F1603" i="2" s="1"/>
  <c r="G1603" i="2" s="1"/>
  <c r="G1612" i="2" s="1"/>
  <c r="G323" i="7"/>
  <c r="F1633" i="7"/>
  <c r="G1633" i="7" s="1"/>
  <c r="G289" i="7"/>
  <c r="F1620" i="7"/>
  <c r="G1620" i="7" s="1"/>
  <c r="F1607" i="7"/>
  <c r="G1607" i="7" s="1"/>
  <c r="F2207" i="2"/>
  <c r="G2207" i="2" s="1"/>
  <c r="G255" i="7"/>
  <c r="F1954" i="7"/>
  <c r="G1954" i="7" s="1"/>
  <c r="F1609" i="7"/>
  <c r="G1609" i="7" s="1"/>
  <c r="F1622" i="7"/>
  <c r="G1622" i="7" s="1"/>
  <c r="F1205" i="7"/>
  <c r="G1205" i="7" s="1"/>
  <c r="F1177" i="7"/>
  <c r="G1177" i="7" s="1"/>
  <c r="F1207" i="7"/>
  <c r="G1207" i="7" s="1"/>
  <c r="F1179" i="7"/>
  <c r="G1179" i="7" s="1"/>
  <c r="G628" i="2"/>
  <c r="G630" i="2" s="1"/>
  <c r="G204" i="7"/>
  <c r="G1134" i="7"/>
  <c r="F272" i="2"/>
  <c r="G272" i="2" s="1"/>
  <c r="F688" i="2"/>
  <c r="G688" i="2" s="1"/>
  <c r="F666" i="2"/>
  <c r="G666" i="2" s="1"/>
  <c r="G675" i="2" s="1"/>
  <c r="G676" i="2" s="1"/>
  <c r="F627" i="2"/>
  <c r="G627" i="2" s="1"/>
  <c r="F606" i="2"/>
  <c r="G606" i="2" s="1"/>
  <c r="F1165" i="7"/>
  <c r="G1165" i="7" s="1"/>
  <c r="F421" i="2"/>
  <c r="G421" i="2" s="1"/>
  <c r="G423" i="2" s="1"/>
  <c r="G424" i="2" s="1"/>
  <c r="B425" i="2" s="1"/>
  <c r="F920" i="7"/>
  <c r="G920" i="7" s="1"/>
  <c r="G926" i="7" s="1"/>
  <c r="F274" i="2"/>
  <c r="G274" i="2" s="1"/>
  <c r="F482" i="2"/>
  <c r="G482" i="2" s="1"/>
  <c r="F321" i="2"/>
  <c r="G321" i="2" s="1"/>
  <c r="G323" i="2" s="1"/>
  <c r="G324" i="2" s="1"/>
  <c r="B325" i="2" s="1"/>
  <c r="F306" i="2"/>
  <c r="G306" i="2" s="1"/>
  <c r="F866" i="7"/>
  <c r="G866" i="7" s="1"/>
  <c r="G872" i="7" s="1"/>
  <c r="F461" i="2"/>
  <c r="G461" i="2" s="1"/>
  <c r="G187" i="7"/>
  <c r="F625" i="2"/>
  <c r="G625" i="2" s="1"/>
  <c r="F1163" i="7"/>
  <c r="G1163" i="7" s="1"/>
  <c r="G604" i="2"/>
  <c r="F304" i="2"/>
  <c r="G304" i="2" s="1"/>
  <c r="F480" i="2"/>
  <c r="G480" i="2" s="1"/>
  <c r="F459" i="2"/>
  <c r="G459" i="2" s="1"/>
  <c r="G722" i="7"/>
  <c r="G463" i="2"/>
  <c r="G855" i="7"/>
  <c r="G465" i="2"/>
  <c r="G353" i="7"/>
  <c r="G2174" i="7" s="1"/>
  <c r="G2176" i="7" s="1"/>
  <c r="G170" i="7"/>
  <c r="F183" i="2"/>
  <c r="G183" i="2" s="1"/>
  <c r="G153" i="7"/>
  <c r="F181" i="2"/>
  <c r="G181" i="2" s="1"/>
  <c r="G340" i="7"/>
  <c r="F40" i="2"/>
  <c r="G40" i="2" s="1"/>
  <c r="F65" i="2"/>
  <c r="G65" i="2" s="1"/>
  <c r="G89" i="7"/>
  <c r="G404" i="7" s="1"/>
  <c r="G407" i="7" s="1"/>
  <c r="F2187" i="2" s="1"/>
  <c r="G2187" i="2" s="1"/>
  <c r="F42" i="2"/>
  <c r="G42" i="2" s="1"/>
  <c r="G1257" i="2" l="1"/>
  <c r="G1162" i="2"/>
  <c r="F1550" i="2"/>
  <c r="G1550" i="2" s="1"/>
  <c r="F382" i="2"/>
  <c r="G382" i="2" s="1"/>
  <c r="G387" i="2" s="1"/>
  <c r="G1238" i="2"/>
  <c r="G1239" i="2" s="1"/>
  <c r="B1240" i="2" s="1"/>
  <c r="B1242" i="2" s="1"/>
  <c r="B1243" i="2" s="1"/>
  <c r="G796" i="2"/>
  <c r="Q221" i="1"/>
  <c r="Q80" i="1"/>
  <c r="Q81" i="1" s="1"/>
  <c r="Q261" i="1"/>
  <c r="Q109" i="1"/>
  <c r="G1124" i="2"/>
  <c r="G1125" i="2" s="1"/>
  <c r="B1126" i="2" s="1"/>
  <c r="B1128" i="2" s="1"/>
  <c r="B1129" i="2" s="1"/>
  <c r="P198" i="1" s="1"/>
  <c r="G3066" i="2"/>
  <c r="B3067" i="2" s="1"/>
  <c r="B3069" i="2" s="1"/>
  <c r="B3070" i="2" s="1"/>
  <c r="P278" i="1" s="1"/>
  <c r="G1181" i="2"/>
  <c r="G1182" i="2" s="1"/>
  <c r="B1183" i="2" s="1"/>
  <c r="B1185" i="2" s="1"/>
  <c r="B1186" i="2" s="1"/>
  <c r="P202" i="1" s="1"/>
  <c r="G2791" i="2"/>
  <c r="G1258" i="2"/>
  <c r="B1259" i="2" s="1"/>
  <c r="B1261" i="2" s="1"/>
  <c r="B1262" i="2" s="1"/>
  <c r="P206" i="1" s="1"/>
  <c r="G3104" i="2"/>
  <c r="B3105" i="2" s="1"/>
  <c r="B3107" i="2" s="1"/>
  <c r="B3108" i="2" s="1"/>
  <c r="P279" i="1" s="1"/>
  <c r="G1613" i="2"/>
  <c r="G1614" i="2" s="1"/>
  <c r="B1615" i="2" s="1"/>
  <c r="B1617" i="2" s="1"/>
  <c r="B1618" i="2" s="1"/>
  <c r="P216" i="1" s="1"/>
  <c r="G980" i="2"/>
  <c r="G981" i="2" s="1"/>
  <c r="B982" i="2" s="1"/>
  <c r="B984" i="2" s="1"/>
  <c r="B985" i="2" s="1"/>
  <c r="P197" i="1" s="1"/>
  <c r="G3046" i="2"/>
  <c r="B3047" i="2" s="1"/>
  <c r="B3049" i="2" s="1"/>
  <c r="B3050" i="2" s="1"/>
  <c r="P277" i="1" s="1"/>
  <c r="G1740" i="7"/>
  <c r="F1548" i="2"/>
  <c r="G1548" i="2" s="1"/>
  <c r="G1052" i="2"/>
  <c r="G1053" i="2" s="1"/>
  <c r="B1054" i="2" s="1"/>
  <c r="B1056" i="2" s="1"/>
  <c r="B1057" i="2" s="1"/>
  <c r="G1163" i="2"/>
  <c r="B1164" i="2" s="1"/>
  <c r="B1166" i="2" s="1"/>
  <c r="B1167" i="2" s="1"/>
  <c r="P201" i="1" s="1"/>
  <c r="G1071" i="2"/>
  <c r="G1072" i="2" s="1"/>
  <c r="B1073" i="2" s="1"/>
  <c r="B1075" i="2" s="1"/>
  <c r="B1076" i="2" s="1"/>
  <c r="P196" i="1" s="1"/>
  <c r="G1595" i="7"/>
  <c r="G1597" i="7" s="1"/>
  <c r="F2391" i="2" s="1"/>
  <c r="G2391" i="2" s="1"/>
  <c r="G28" i="2"/>
  <c r="G29" i="2" s="1"/>
  <c r="B30" i="2" s="1"/>
  <c r="B32" i="2" s="1"/>
  <c r="B33" i="2" s="1"/>
  <c r="P9" i="1" s="1"/>
  <c r="Q9" i="1" s="1"/>
  <c r="G1220" i="2"/>
  <c r="B1221" i="2" s="1"/>
  <c r="B1223" i="2" s="1"/>
  <c r="B1224" i="2" s="1"/>
  <c r="P204" i="1" s="1"/>
  <c r="G3027" i="2"/>
  <c r="B3028" i="2" s="1"/>
  <c r="B3030" i="2" s="1"/>
  <c r="B3031" i="2" s="1"/>
  <c r="P276" i="1" s="1"/>
  <c r="G1091" i="2"/>
  <c r="B1092" i="2" s="1"/>
  <c r="B1094" i="2" s="1"/>
  <c r="B1095" i="2" s="1"/>
  <c r="P195" i="1" s="1"/>
  <c r="G2733" i="2"/>
  <c r="F2748" i="2" s="1"/>
  <c r="G2748" i="2" s="1"/>
  <c r="G1200" i="2"/>
  <c r="G1201" i="2" s="1"/>
  <c r="B1202" i="2" s="1"/>
  <c r="B1204" i="2" s="1"/>
  <c r="B1205" i="2" s="1"/>
  <c r="P203" i="1" s="1"/>
  <c r="G1143" i="2"/>
  <c r="G1144" i="2" s="1"/>
  <c r="B1145" i="2" s="1"/>
  <c r="B1147" i="2" s="1"/>
  <c r="B1148" i="2" s="1"/>
  <c r="P199" i="1" s="1"/>
  <c r="G2193" i="2"/>
  <c r="G2987" i="2"/>
  <c r="G2989" i="2"/>
  <c r="G2988" i="2"/>
  <c r="G1000" i="2"/>
  <c r="F1102" i="2" s="1"/>
  <c r="G1102" i="2" s="1"/>
  <c r="F2642" i="2"/>
  <c r="G2642" i="2" s="1"/>
  <c r="G2610" i="2"/>
  <c r="B2611" i="2" s="1"/>
  <c r="B2613" i="2" s="1"/>
  <c r="B2614" i="2" s="1"/>
  <c r="F2747" i="2"/>
  <c r="G2747" i="2" s="1"/>
  <c r="G2749" i="2" s="1"/>
  <c r="G2192" i="2"/>
  <c r="F2644" i="2"/>
  <c r="G2644" i="2" s="1"/>
  <c r="G2631" i="2"/>
  <c r="B2632" i="2" s="1"/>
  <c r="B2634" i="2" s="1"/>
  <c r="B2635" i="2" s="1"/>
  <c r="G2712" i="2"/>
  <c r="B2713" i="2" s="1"/>
  <c r="B2715" i="2" s="1"/>
  <c r="B2716" i="2" s="1"/>
  <c r="P262" i="1" s="1"/>
  <c r="F2746" i="2"/>
  <c r="G2746" i="2" s="1"/>
  <c r="G2016" i="2"/>
  <c r="G2017" i="2" s="1"/>
  <c r="B2018" i="2" s="1"/>
  <c r="B2020" i="2" s="1"/>
  <c r="B2021" i="2" s="1"/>
  <c r="P101" i="1" s="1"/>
  <c r="G2415" i="2"/>
  <c r="G2416" i="2" s="1"/>
  <c r="B2417" i="2" s="1"/>
  <c r="B2419" i="2" s="1"/>
  <c r="B2420" i="2" s="1"/>
  <c r="G1913" i="7"/>
  <c r="F1470" i="2"/>
  <c r="G1470" i="2" s="1"/>
  <c r="G1472" i="2" s="1"/>
  <c r="G1473" i="2" s="1"/>
  <c r="B1474" i="2" s="1"/>
  <c r="G1638" i="7"/>
  <c r="F2393" i="2" s="1"/>
  <c r="G2393" i="2" s="1"/>
  <c r="G2871" i="2"/>
  <c r="G2909" i="2"/>
  <c r="G2915" i="2" s="1"/>
  <c r="G2869" i="2"/>
  <c r="F1527" i="2"/>
  <c r="G1527" i="2" s="1"/>
  <c r="G1529" i="2" s="1"/>
  <c r="G1530" i="2" s="1"/>
  <c r="G1669" i="7"/>
  <c r="F1508" i="2"/>
  <c r="G1508" i="2" s="1"/>
  <c r="G1510" i="2" s="1"/>
  <c r="G1511" i="2" s="1"/>
  <c r="B1512" i="2" s="1"/>
  <c r="F1692" i="2"/>
  <c r="G1692" i="2" s="1"/>
  <c r="F1664" i="2"/>
  <c r="G1664" i="2" s="1"/>
  <c r="F1726" i="2"/>
  <c r="G1726" i="2" s="1"/>
  <c r="G1733" i="2" s="1"/>
  <c r="F1694" i="2"/>
  <c r="G1694" i="2" s="1"/>
  <c r="F1666" i="2"/>
  <c r="G1666" i="2" s="1"/>
  <c r="F1638" i="2"/>
  <c r="G1638" i="2" s="1"/>
  <c r="G1645" i="2" s="1"/>
  <c r="G2851" i="2"/>
  <c r="F348" i="2"/>
  <c r="G348" i="2" s="1"/>
  <c r="F1576" i="2"/>
  <c r="G1576" i="2" s="1"/>
  <c r="F350" i="2"/>
  <c r="G350" i="2" s="1"/>
  <c r="F1578" i="2"/>
  <c r="G1578" i="2" s="1"/>
  <c r="F2070" i="2"/>
  <c r="G2070" i="2" s="1"/>
  <c r="F1362" i="7"/>
  <c r="G2834" i="2"/>
  <c r="G2835" i="2" s="1"/>
  <c r="B2836" i="2" s="1"/>
  <c r="B2838" i="2" s="1"/>
  <c r="B2839" i="2" s="1"/>
  <c r="G759" i="2"/>
  <c r="G760" i="2" s="1"/>
  <c r="B761" i="2" s="1"/>
  <c r="B763" i="2" s="1"/>
  <c r="B764" i="2" s="1"/>
  <c r="P90" i="1" s="1"/>
  <c r="G2371" i="2"/>
  <c r="G2372" i="2" s="1"/>
  <c r="B2373" i="2" s="1"/>
  <c r="B2375" i="2" s="1"/>
  <c r="B2376" i="2" s="1"/>
  <c r="G2079" i="7"/>
  <c r="G2080" i="7" s="1"/>
  <c r="G2155" i="2"/>
  <c r="G2156" i="2" s="1"/>
  <c r="G778" i="2"/>
  <c r="G779" i="2" s="1"/>
  <c r="B780" i="2" s="1"/>
  <c r="B782" i="2" s="1"/>
  <c r="B783" i="2" s="1"/>
  <c r="P91" i="1" s="1"/>
  <c r="G3310" i="2"/>
  <c r="G3311" i="2" s="1"/>
  <c r="B3312" i="2" s="1"/>
  <c r="B3314" i="2" s="1"/>
  <c r="B3315" i="2" s="1"/>
  <c r="P345" i="1" s="1"/>
  <c r="G960" i="2"/>
  <c r="G961" i="2" s="1"/>
  <c r="B962" i="2" s="1"/>
  <c r="B964" i="2" s="1"/>
  <c r="B965" i="2" s="1"/>
  <c r="G2893" i="2"/>
  <c r="G2897" i="2" s="1"/>
  <c r="G2898" i="2" s="1"/>
  <c r="B2899" i="2" s="1"/>
  <c r="B2901" i="2" s="1"/>
  <c r="B2902" i="2" s="1"/>
  <c r="P266" i="1" s="1"/>
  <c r="G71" i="7"/>
  <c r="F848" i="2" s="1"/>
  <c r="G848" i="2" s="1"/>
  <c r="G933" i="2"/>
  <c r="G1598" i="7"/>
  <c r="F2392" i="2" s="1"/>
  <c r="G2392" i="2" s="1"/>
  <c r="G2241" i="7"/>
  <c r="G2912" i="2" s="1"/>
  <c r="G168" i="2"/>
  <c r="G169" i="2" s="1"/>
  <c r="B170" i="2" s="1"/>
  <c r="B172" i="2" s="1"/>
  <c r="B173" i="2" s="1"/>
  <c r="P77" i="1" s="1"/>
  <c r="G2256" i="7"/>
  <c r="G2554" i="2"/>
  <c r="G2555" i="2" s="1"/>
  <c r="B2556" i="2" s="1"/>
  <c r="B2558" i="2" s="1"/>
  <c r="B2559" i="2" s="1"/>
  <c r="P289" i="1" s="1"/>
  <c r="G3247" i="2"/>
  <c r="B3248" i="2" s="1"/>
  <c r="B3250" i="2" s="1"/>
  <c r="B3251" i="2" s="1"/>
  <c r="G653" i="2"/>
  <c r="G654" i="2" s="1"/>
  <c r="B655" i="2" s="1"/>
  <c r="B657" i="2" s="1"/>
  <c r="B658" i="2" s="1"/>
  <c r="G2590" i="2"/>
  <c r="G2591" i="2" s="1"/>
  <c r="B2592" i="2" s="1"/>
  <c r="B2594" i="2" s="1"/>
  <c r="B2595" i="2" s="1"/>
  <c r="P291" i="1" s="1"/>
  <c r="G3158" i="2"/>
  <c r="G3159" i="2" s="1"/>
  <c r="B3160" i="2" s="1"/>
  <c r="B3162" i="2" s="1"/>
  <c r="B3163" i="2" s="1"/>
  <c r="B2524" i="2"/>
  <c r="B2525" i="2" s="1"/>
  <c r="G2537" i="2"/>
  <c r="B2538" i="2" s="1"/>
  <c r="B2540" i="2" s="1"/>
  <c r="B2541" i="2" s="1"/>
  <c r="P288" i="1" s="1"/>
  <c r="G3208" i="2"/>
  <c r="G3209" i="2" s="1"/>
  <c r="B3210" i="2" s="1"/>
  <c r="B3213" i="2" s="1"/>
  <c r="G2572" i="2"/>
  <c r="G2573" i="2" s="1"/>
  <c r="B2574" i="2" s="1"/>
  <c r="B2576" i="2" s="1"/>
  <c r="B2577" i="2" s="1"/>
  <c r="G3228" i="2"/>
  <c r="B3229" i="2" s="1"/>
  <c r="B3231" i="2" s="1"/>
  <c r="B3232" i="2" s="1"/>
  <c r="P209" i="1" s="1"/>
  <c r="B327" i="2"/>
  <c r="B328" i="2" s="1"/>
  <c r="B295" i="2"/>
  <c r="B296" i="2" s="1"/>
  <c r="B522" i="2"/>
  <c r="B523" i="2" s="1"/>
  <c r="P55" i="1" s="1"/>
  <c r="B574" i="2"/>
  <c r="B575" i="2" s="1"/>
  <c r="P58" i="1" s="1"/>
  <c r="B2121" i="2"/>
  <c r="B2122" i="2" s="1"/>
  <c r="P364" i="1" s="1"/>
  <c r="Q364" i="1" s="1"/>
  <c r="B427" i="2"/>
  <c r="B428" i="2" s="1"/>
  <c r="P349" i="1" s="1"/>
  <c r="B253" i="2"/>
  <c r="B254" i="2" s="1"/>
  <c r="B238" i="2"/>
  <c r="B239" i="2" s="1"/>
  <c r="B593" i="2"/>
  <c r="B594" i="2" s="1"/>
  <c r="G148" i="2"/>
  <c r="G149" i="2" s="1"/>
  <c r="B150" i="2" s="1"/>
  <c r="G302" i="7"/>
  <c r="G305" i="7" s="1"/>
  <c r="G306" i="7" s="1"/>
  <c r="G768" i="7"/>
  <c r="G771" i="7" s="1"/>
  <c r="F846" i="2" s="1"/>
  <c r="G2025" i="7"/>
  <c r="G2026" i="7" s="1"/>
  <c r="G1879" i="2"/>
  <c r="G1880" i="2" s="1"/>
  <c r="B1881" i="2" s="1"/>
  <c r="G3292" i="2"/>
  <c r="G3293" i="2" s="1"/>
  <c r="B3294" i="2" s="1"/>
  <c r="G1897" i="2"/>
  <c r="G1898" i="2" s="1"/>
  <c r="B1899" i="2" s="1"/>
  <c r="G1995" i="2"/>
  <c r="G1996" i="2" s="1"/>
  <c r="B1997" i="2" s="1"/>
  <c r="B677" i="2"/>
  <c r="G1978" i="2"/>
  <c r="B1979" i="2" s="1"/>
  <c r="G1957" i="2"/>
  <c r="G1958" i="2" s="1"/>
  <c r="B1959" i="2" s="1"/>
  <c r="F1489" i="2"/>
  <c r="G1489" i="2" s="1"/>
  <c r="G1491" i="2" s="1"/>
  <c r="G1492" i="2" s="1"/>
  <c r="B1493" i="2" s="1"/>
  <c r="G1682" i="7"/>
  <c r="G3084" i="2"/>
  <c r="G3085" i="2" s="1"/>
  <c r="B3086" i="2" s="1"/>
  <c r="G1446" i="2"/>
  <c r="G1449" i="2" s="1"/>
  <c r="G202" i="2"/>
  <c r="G203" i="2" s="1"/>
  <c r="B204" i="2" s="1"/>
  <c r="G219" i="2"/>
  <c r="G220" i="2" s="1"/>
  <c r="B221" i="2" s="1"/>
  <c r="B223" i="2" s="1"/>
  <c r="G755" i="7"/>
  <c r="F532" i="2"/>
  <c r="G532" i="2" s="1"/>
  <c r="G536" i="2" s="1"/>
  <c r="G537" i="2" s="1"/>
  <c r="B538" i="2" s="1"/>
  <c r="G554" i="2"/>
  <c r="G555" i="2" s="1"/>
  <c r="B556" i="2" s="1"/>
  <c r="G445" i="2"/>
  <c r="G446" i="2" s="1"/>
  <c r="B447" i="2" s="1"/>
  <c r="G1375" i="2"/>
  <c r="G1376" i="2" s="1"/>
  <c r="B1377" i="2" s="1"/>
  <c r="G2011" i="7"/>
  <c r="F1941" i="7" s="1"/>
  <c r="G1941" i="7" s="1"/>
  <c r="G408" i="7"/>
  <c r="F2874" i="2"/>
  <c r="G2874" i="2" s="1"/>
  <c r="G2676" i="2"/>
  <c r="G2678" i="2" s="1"/>
  <c r="G2211" i="7"/>
  <c r="G370" i="7"/>
  <c r="G373" i="7" s="1"/>
  <c r="F894" i="2" s="1"/>
  <c r="G894" i="2" s="1"/>
  <c r="G896" i="2" s="1"/>
  <c r="G897" i="2" s="1"/>
  <c r="B898" i="2" s="1"/>
  <c r="B900" i="2" s="1"/>
  <c r="G387" i="7"/>
  <c r="G390" i="7" s="1"/>
  <c r="G438" i="7"/>
  <c r="G441" i="7" s="1"/>
  <c r="F1272" i="2" s="1"/>
  <c r="G1272" i="2" s="1"/>
  <c r="G1275" i="2" s="1"/>
  <c r="G1276" i="2" s="1"/>
  <c r="B1277" i="2" s="1"/>
  <c r="G2194" i="7"/>
  <c r="G2661" i="2" s="1"/>
  <c r="F1354" i="2"/>
  <c r="G1354" i="2" s="1"/>
  <c r="G1356" i="2" s="1"/>
  <c r="G1357" i="2" s="1"/>
  <c r="B1358" i="2" s="1"/>
  <c r="G891" i="7"/>
  <c r="G693" i="2"/>
  <c r="G694" i="2" s="1"/>
  <c r="B695" i="2" s="1"/>
  <c r="G1195" i="7"/>
  <c r="G2177" i="7"/>
  <c r="G2178" i="7" s="1"/>
  <c r="G2160" i="7"/>
  <c r="G2161" i="7" s="1"/>
  <c r="G2191" i="7"/>
  <c r="G2193" i="7" s="1"/>
  <c r="G2659" i="2"/>
  <c r="G982" i="7"/>
  <c r="G907" i="7" s="1"/>
  <c r="F381" i="2" s="1"/>
  <c r="G381" i="2" s="1"/>
  <c r="G386" i="2" s="1"/>
  <c r="F1377" i="7"/>
  <c r="G1377" i="7" s="1"/>
  <c r="G1381" i="7" s="1"/>
  <c r="F1351" i="7"/>
  <c r="G1351" i="7" s="1"/>
  <c r="G2111" i="7"/>
  <c r="G2386" i="2" s="1"/>
  <c r="G2094" i="7"/>
  <c r="G2384" i="2" s="1"/>
  <c r="G1653" i="7"/>
  <c r="F1637" i="7"/>
  <c r="G1637" i="7" s="1"/>
  <c r="G1639" i="7" s="1"/>
  <c r="F2394" i="2" s="1"/>
  <c r="G2394" i="2" s="1"/>
  <c r="G2128" i="7"/>
  <c r="G356" i="7"/>
  <c r="G2108" i="7"/>
  <c r="G2110" i="7" s="1"/>
  <c r="G2353" i="2"/>
  <c r="G2335" i="2"/>
  <c r="G2336" i="2" s="1"/>
  <c r="B2337" i="2" s="1"/>
  <c r="G1970" i="7"/>
  <c r="G1997" i="7"/>
  <c r="G1998" i="7" s="1"/>
  <c r="G2036" i="7"/>
  <c r="G2038" i="7" s="1"/>
  <c r="F2062" i="7" s="1"/>
  <c r="G2062" i="7" s="1"/>
  <c r="G2064" i="7" s="1"/>
  <c r="F2314" i="2" s="1"/>
  <c r="G2314" i="2" s="1"/>
  <c r="G1956" i="7"/>
  <c r="G2312" i="2"/>
  <c r="G1930" i="7"/>
  <c r="G1813" i="7"/>
  <c r="F2309" i="2" s="1"/>
  <c r="G1898" i="7"/>
  <c r="G1798" i="7"/>
  <c r="G1769" i="7"/>
  <c r="G1783" i="7"/>
  <c r="G1624" i="7"/>
  <c r="G1611" i="7"/>
  <c r="G1167" i="7"/>
  <c r="G1168" i="7" s="1"/>
  <c r="G1181" i="7"/>
  <c r="G1209" i="7"/>
  <c r="G308" i="2"/>
  <c r="G309" i="2" s="1"/>
  <c r="B310" i="2" s="1"/>
  <c r="G467" i="2"/>
  <c r="G468" i="2" s="1"/>
  <c r="B469" i="2" s="1"/>
  <c r="G927" i="7"/>
  <c r="F484" i="2"/>
  <c r="G484" i="2" s="1"/>
  <c r="G486" i="2" s="1"/>
  <c r="G487" i="2" s="1"/>
  <c r="B488" i="2" s="1"/>
  <c r="G69" i="2"/>
  <c r="G71" i="2" s="1"/>
  <c r="G72" i="2" s="1"/>
  <c r="B73" i="2" s="1"/>
  <c r="B75" i="2" s="1"/>
  <c r="G873" i="7"/>
  <c r="G185" i="2"/>
  <c r="G186" i="2" s="1"/>
  <c r="B187" i="2" s="1"/>
  <c r="G48" i="2"/>
  <c r="G49" i="2" s="1"/>
  <c r="B50" i="2" s="1"/>
  <c r="B52" i="2" s="1"/>
  <c r="C19" i="8" l="1"/>
  <c r="G1557" i="2"/>
  <c r="G388" i="2"/>
  <c r="B389" i="2" s="1"/>
  <c r="B391" i="2" s="1"/>
  <c r="B392" i="2" s="1"/>
  <c r="P61" i="1" s="1"/>
  <c r="B1531" i="2"/>
  <c r="P354" i="1"/>
  <c r="Q354" i="1" s="1"/>
  <c r="Q209" i="1"/>
  <c r="Q262" i="1"/>
  <c r="Q195" i="1"/>
  <c r="Q289" i="1"/>
  <c r="Q90" i="1"/>
  <c r="Q199" i="1"/>
  <c r="Q276" i="1"/>
  <c r="Q196" i="1"/>
  <c r="Q216" i="1"/>
  <c r="Q202" i="1"/>
  <c r="Q266" i="1"/>
  <c r="Q197" i="1"/>
  <c r="Q349" i="1"/>
  <c r="Q291" i="1"/>
  <c r="Q345" i="1"/>
  <c r="Q101" i="1"/>
  <c r="Q103" i="1" s="1"/>
  <c r="C23" i="8" s="1"/>
  <c r="Q203" i="1"/>
  <c r="Q204" i="1"/>
  <c r="Q279" i="1"/>
  <c r="Q278" i="1"/>
  <c r="Q288" i="1"/>
  <c r="Q91" i="1"/>
  <c r="Q198" i="1"/>
  <c r="Q201" i="1"/>
  <c r="Q277" i="1"/>
  <c r="Q206" i="1"/>
  <c r="P290" i="1"/>
  <c r="P285" i="1"/>
  <c r="P280" i="1"/>
  <c r="P265" i="1"/>
  <c r="P53" i="1"/>
  <c r="Q53" i="1" s="1"/>
  <c r="P238" i="1"/>
  <c r="P205" i="1"/>
  <c r="P237" i="1"/>
  <c r="P309" i="1"/>
  <c r="P240" i="1"/>
  <c r="B1001" i="2"/>
  <c r="B1003" i="2" s="1"/>
  <c r="B1004" i="2" s="1"/>
  <c r="G2750" i="2"/>
  <c r="G2751" i="2" s="1"/>
  <c r="B2752" i="2" s="1"/>
  <c r="B2754" i="2" s="1"/>
  <c r="B2755" i="2" s="1"/>
  <c r="G2734" i="2"/>
  <c r="B2735" i="2" s="1"/>
  <c r="B2737" i="2" s="1"/>
  <c r="B2738" i="2" s="1"/>
  <c r="P263" i="1" s="1"/>
  <c r="F1549" i="2"/>
  <c r="G1549" i="2" s="1"/>
  <c r="G1556" i="2" s="1"/>
  <c r="G1558" i="2" s="1"/>
  <c r="B1559" i="2" s="1"/>
  <c r="B1561" i="2" s="1"/>
  <c r="B1562" i="2" s="1"/>
  <c r="P214" i="1" s="1"/>
  <c r="G909" i="7"/>
  <c r="C965" i="2"/>
  <c r="P107" i="1" s="1"/>
  <c r="Q77" i="1"/>
  <c r="Q78" i="1" s="1"/>
  <c r="C18" i="8" s="1"/>
  <c r="Q55" i="1"/>
  <c r="Q58" i="1"/>
  <c r="F1103" i="2"/>
  <c r="G1103" i="2" s="1"/>
  <c r="G1105" i="2" s="1"/>
  <c r="G1106" i="2" s="1"/>
  <c r="B1107" i="2" s="1"/>
  <c r="B1109" i="2" s="1"/>
  <c r="B1110" i="2" s="1"/>
  <c r="G2646" i="2"/>
  <c r="G846" i="2"/>
  <c r="G852" i="2" s="1"/>
  <c r="G853" i="2" s="1"/>
  <c r="B854" i="2" s="1"/>
  <c r="B856" i="2" s="1"/>
  <c r="B857" i="2" s="1"/>
  <c r="F2209" i="2"/>
  <c r="G2209" i="2" s="1"/>
  <c r="G2223" i="2" s="1"/>
  <c r="F2302" i="2"/>
  <c r="G2302" i="2" s="1"/>
  <c r="G72" i="7"/>
  <c r="G2792" i="2"/>
  <c r="B2793" i="2" s="1"/>
  <c r="B2795" i="2" s="1"/>
  <c r="B2796" i="2" s="1"/>
  <c r="F2240" i="2"/>
  <c r="G2240" i="2" s="1"/>
  <c r="G2254" i="2" s="1"/>
  <c r="F2271" i="2"/>
  <c r="G2271" i="2" s="1"/>
  <c r="G1914" i="7"/>
  <c r="P245" i="1" s="1"/>
  <c r="Q245" i="1" s="1"/>
  <c r="G2877" i="2"/>
  <c r="G1701" i="2"/>
  <c r="G1673" i="2"/>
  <c r="G355" i="2"/>
  <c r="F1577" i="2"/>
  <c r="G1577" i="2" s="1"/>
  <c r="G1584" i="2" s="1"/>
  <c r="F1725" i="2"/>
  <c r="G1725" i="2" s="1"/>
  <c r="G1732" i="2" s="1"/>
  <c r="G1734" i="2" s="1"/>
  <c r="B1735" i="2" s="1"/>
  <c r="B1737" i="2" s="1"/>
  <c r="B1738" i="2" s="1"/>
  <c r="P220" i="1" s="1"/>
  <c r="F1693" i="2"/>
  <c r="G1693" i="2" s="1"/>
  <c r="G1700" i="2" s="1"/>
  <c r="F1665" i="2"/>
  <c r="G1665" i="2" s="1"/>
  <c r="G1672" i="2" s="1"/>
  <c r="F1637" i="2"/>
  <c r="G1637" i="2" s="1"/>
  <c r="G1644" i="2" s="1"/>
  <c r="G1646" i="2" s="1"/>
  <c r="B1647" i="2" s="1"/>
  <c r="B1649" i="2" s="1"/>
  <c r="B1650" i="2" s="1"/>
  <c r="P217" i="1" s="1"/>
  <c r="G1585" i="2"/>
  <c r="F349" i="2"/>
  <c r="G349" i="2" s="1"/>
  <c r="Q365" i="1"/>
  <c r="C38" i="8" s="1"/>
  <c r="AA38" i="8" s="1"/>
  <c r="B1279" i="2"/>
  <c r="B1280" i="2" s="1"/>
  <c r="G2224" i="7"/>
  <c r="G2226" i="7" s="1"/>
  <c r="F2050" i="2"/>
  <c r="G2050" i="2" s="1"/>
  <c r="G2053" i="2" s="1"/>
  <c r="G2054" i="2" s="1"/>
  <c r="B2055" i="2" s="1"/>
  <c r="B2057" i="2" s="1"/>
  <c r="B2058" i="2" s="1"/>
  <c r="P98" i="1" s="1"/>
  <c r="F2134" i="2"/>
  <c r="G2134" i="2" s="1"/>
  <c r="G2137" i="2" s="1"/>
  <c r="G2138" i="2" s="1"/>
  <c r="B2139" i="2" s="1"/>
  <c r="B2141" i="2" s="1"/>
  <c r="B2142" i="2" s="1"/>
  <c r="P307" i="1" s="1"/>
  <c r="B2157" i="2"/>
  <c r="B2159" i="2" s="1"/>
  <c r="B2160" i="2" s="1"/>
  <c r="P348" i="1"/>
  <c r="P308" i="1"/>
  <c r="G941" i="2"/>
  <c r="G942" i="2" s="1"/>
  <c r="B943" i="2" s="1"/>
  <c r="B945" i="2" s="1"/>
  <c r="B946" i="2" s="1"/>
  <c r="G2242" i="7"/>
  <c r="G2872" i="2"/>
  <c r="F2766" i="2"/>
  <c r="G2766" i="2" s="1"/>
  <c r="G2770" i="2" s="1"/>
  <c r="G2771" i="2" s="1"/>
  <c r="B2772" i="2" s="1"/>
  <c r="B2774" i="2" s="1"/>
  <c r="B2775" i="2" s="1"/>
  <c r="P272" i="1" s="1"/>
  <c r="G1599" i="7"/>
  <c r="F268" i="2"/>
  <c r="G268" i="2" s="1"/>
  <c r="G276" i="2" s="1"/>
  <c r="G277" i="2" s="1"/>
  <c r="B278" i="2" s="1"/>
  <c r="B280" i="2" s="1"/>
  <c r="B281" i="2" s="1"/>
  <c r="P38" i="1" s="1"/>
  <c r="Q38" i="1" s="1"/>
  <c r="Q39" i="1" s="1"/>
  <c r="C11" i="8" s="1"/>
  <c r="F2914" i="2"/>
  <c r="G2914" i="2" s="1"/>
  <c r="G2257" i="7"/>
  <c r="G772" i="7"/>
  <c r="F2499" i="2"/>
  <c r="G2499" i="2" s="1"/>
  <c r="G2504" i="2" s="1"/>
  <c r="G2505" i="2" s="1"/>
  <c r="B2506" i="2" s="1"/>
  <c r="B2508" i="2" s="1"/>
  <c r="B2509" i="2" s="1"/>
  <c r="P60" i="1"/>
  <c r="P43" i="1"/>
  <c r="P59" i="1"/>
  <c r="B1961" i="2"/>
  <c r="B1962" i="2" s="1"/>
  <c r="P359" i="1" s="1"/>
  <c r="B1883" i="2"/>
  <c r="B1884" i="2" s="1"/>
  <c r="B2339" i="2"/>
  <c r="B2340" i="2" s="1"/>
  <c r="B697" i="2"/>
  <c r="B698" i="2" s="1"/>
  <c r="P353" i="1" s="1"/>
  <c r="B1981" i="2"/>
  <c r="B1982" i="2" s="1"/>
  <c r="P360" i="1" s="1"/>
  <c r="B1514" i="2"/>
  <c r="B1515" i="2" s="1"/>
  <c r="B449" i="2"/>
  <c r="B450" i="2" s="1"/>
  <c r="P54" i="1" s="1"/>
  <c r="Q54" i="1" s="1"/>
  <c r="P241" i="1"/>
  <c r="B1495" i="2"/>
  <c r="B1496" i="2" s="1"/>
  <c r="B679" i="2"/>
  <c r="B680" i="2" s="1"/>
  <c r="B3296" i="2"/>
  <c r="B3297" i="2" s="1"/>
  <c r="B540" i="2"/>
  <c r="B541" i="2" s="1"/>
  <c r="P56" i="1" s="1"/>
  <c r="B206" i="2"/>
  <c r="B207" i="2" s="1"/>
  <c r="P32" i="1" s="1"/>
  <c r="B3088" i="2"/>
  <c r="B3089" i="2" s="1"/>
  <c r="B1901" i="2"/>
  <c r="B1902" i="2" s="1"/>
  <c r="B471" i="2"/>
  <c r="B472" i="2" s="1"/>
  <c r="B1379" i="2"/>
  <c r="B1380" i="2" s="1"/>
  <c r="P112" i="1" s="1"/>
  <c r="B189" i="2"/>
  <c r="B490" i="2"/>
  <c r="B491" i="2" s="1"/>
  <c r="P350" i="1" s="1"/>
  <c r="B312" i="2"/>
  <c r="B313" i="2" s="1"/>
  <c r="P42" i="1" s="1"/>
  <c r="B1360" i="2"/>
  <c r="B1361" i="2" s="1"/>
  <c r="P113" i="1" s="1"/>
  <c r="B558" i="2"/>
  <c r="B559" i="2" s="1"/>
  <c r="P57" i="1" s="1"/>
  <c r="Q57" i="1" s="1"/>
  <c r="B1476" i="2"/>
  <c r="B1477" i="2" s="1"/>
  <c r="B1533" i="2"/>
  <c r="B1534" i="2" s="1"/>
  <c r="B1999" i="2"/>
  <c r="B2000" i="2" s="1"/>
  <c r="P304" i="1" s="1"/>
  <c r="B152" i="2"/>
  <c r="B153" i="2" s="1"/>
  <c r="F2050" i="7"/>
  <c r="G2050" i="7" s="1"/>
  <c r="F2031" i="2"/>
  <c r="G2031" i="2" s="1"/>
  <c r="F1349" i="7"/>
  <c r="G1349" i="7" s="1"/>
  <c r="G2074" i="2"/>
  <c r="F2095" i="2"/>
  <c r="G2095" i="2" s="1"/>
  <c r="G2101" i="2" s="1"/>
  <c r="G2102" i="2" s="1"/>
  <c r="B2103" i="2" s="1"/>
  <c r="F2068" i="2"/>
  <c r="G2068" i="2" s="1"/>
  <c r="F500" i="2"/>
  <c r="G500" i="2" s="1"/>
  <c r="G502" i="2" s="1"/>
  <c r="G503" i="2" s="1"/>
  <c r="B504" i="2" s="1"/>
  <c r="F1388" i="2"/>
  <c r="G1388" i="2" s="1"/>
  <c r="G1394" i="2" s="1"/>
  <c r="G1395" i="2" s="1"/>
  <c r="B1396" i="2" s="1"/>
  <c r="G797" i="2"/>
  <c r="B798" i="2" s="1"/>
  <c r="B224" i="2"/>
  <c r="B901" i="2"/>
  <c r="P86" i="1" s="1"/>
  <c r="G442" i="7"/>
  <c r="F829" i="2"/>
  <c r="G829" i="2" s="1"/>
  <c r="G832" i="2" s="1"/>
  <c r="F811" i="2"/>
  <c r="G811" i="2" s="1"/>
  <c r="G814" i="2" s="1"/>
  <c r="G2848" i="2"/>
  <c r="G2852" i="2" s="1"/>
  <c r="G2853" i="2" s="1"/>
  <c r="B2854" i="2" s="1"/>
  <c r="G2811" i="2"/>
  <c r="G2815" i="2" s="1"/>
  <c r="G2816" i="2" s="1"/>
  <c r="B2817" i="2" s="1"/>
  <c r="F3003" i="2"/>
  <c r="G3003" i="2" s="1"/>
  <c r="B2990" i="2"/>
  <c r="G374" i="7"/>
  <c r="F872" i="2"/>
  <c r="G872" i="2" s="1"/>
  <c r="G878" i="2" s="1"/>
  <c r="G879" i="2" s="1"/>
  <c r="B880" i="2" s="1"/>
  <c r="G728" i="2"/>
  <c r="G739" i="2" s="1"/>
  <c r="G2677" i="2"/>
  <c r="G2679" i="2" s="1"/>
  <c r="G2680" i="2" s="1"/>
  <c r="B2681" i="2" s="1"/>
  <c r="G2212" i="7"/>
  <c r="G2645" i="2"/>
  <c r="G391" i="7"/>
  <c r="F1447" i="2"/>
  <c r="G1447" i="2" s="1"/>
  <c r="F708" i="2"/>
  <c r="G708" i="2" s="1"/>
  <c r="G2663" i="2"/>
  <c r="G2643" i="2"/>
  <c r="G1196" i="7"/>
  <c r="F608" i="2"/>
  <c r="G608" i="2" s="1"/>
  <c r="G610" i="2" s="1"/>
  <c r="G611" i="2" s="1"/>
  <c r="B612" i="2" s="1"/>
  <c r="G2195" i="7"/>
  <c r="G2660" i="2"/>
  <c r="G2662" i="2" s="1"/>
  <c r="G1361" i="7"/>
  <c r="G1367" i="7" s="1"/>
  <c r="G1382" i="7"/>
  <c r="G1362" i="7" s="1"/>
  <c r="G1368" i="7" s="1"/>
  <c r="G2072" i="2" s="1"/>
  <c r="G2095" i="7"/>
  <c r="G2443" i="2"/>
  <c r="G2447" i="2" s="1"/>
  <c r="G2448" i="2" s="1"/>
  <c r="B2449" i="2" s="1"/>
  <c r="F2460" i="2"/>
  <c r="G2460" i="2" s="1"/>
  <c r="G2484" i="2" s="1"/>
  <c r="G2485" i="2" s="1"/>
  <c r="B2486" i="2" s="1"/>
  <c r="G2112" i="7"/>
  <c r="G2385" i="2"/>
  <c r="G2395" i="2" s="1"/>
  <c r="G357" i="7"/>
  <c r="G2143" i="7"/>
  <c r="G2145" i="7" s="1"/>
  <c r="G2388" i="2"/>
  <c r="G2129" i="7"/>
  <c r="F1981" i="7"/>
  <c r="G1981" i="7" s="1"/>
  <c r="G1971" i="7"/>
  <c r="F2061" i="7"/>
  <c r="G2061" i="7" s="1"/>
  <c r="F1979" i="7"/>
  <c r="G1979" i="7" s="1"/>
  <c r="F2272" i="2"/>
  <c r="G2272" i="2" s="1"/>
  <c r="F2241" i="2"/>
  <c r="G2241" i="2" s="1"/>
  <c r="F2303" i="2"/>
  <c r="G2303" i="2" s="1"/>
  <c r="G1899" i="7"/>
  <c r="F2249" i="2"/>
  <c r="G2249" i="2" s="1"/>
  <c r="F2311" i="2"/>
  <c r="G2311" i="2" s="1"/>
  <c r="F2276" i="2"/>
  <c r="G2276" i="2" s="1"/>
  <c r="F2245" i="2"/>
  <c r="G2245" i="2" s="1"/>
  <c r="F2307" i="2"/>
  <c r="F2268" i="2"/>
  <c r="G2268" i="2" s="1"/>
  <c r="F2237" i="2"/>
  <c r="G2237" i="2" s="1"/>
  <c r="F2299" i="2"/>
  <c r="G2299" i="2" s="1"/>
  <c r="F2243" i="2"/>
  <c r="G2243" i="2" s="1"/>
  <c r="F2305" i="2"/>
  <c r="G2305" i="2" s="1"/>
  <c r="F2270" i="2"/>
  <c r="G2270" i="2" s="1"/>
  <c r="F2239" i="2"/>
  <c r="G2239" i="2" s="1"/>
  <c r="F2301" i="2"/>
  <c r="G2301" i="2" s="1"/>
  <c r="G1799" i="7"/>
  <c r="G2304" i="2" s="1"/>
  <c r="F2247" i="2"/>
  <c r="G2247" i="2" s="1"/>
  <c r="F2251" i="2"/>
  <c r="G2251" i="2" s="1"/>
  <c r="F2313" i="2"/>
  <c r="G2313" i="2" s="1"/>
  <c r="G2012" i="7"/>
  <c r="F1939" i="7"/>
  <c r="G1939" i="7" s="1"/>
  <c r="G1943" i="7" s="1"/>
  <c r="F2222" i="2" s="1"/>
  <c r="G2222" i="2" s="1"/>
  <c r="G2035" i="7"/>
  <c r="F2212" i="2"/>
  <c r="G2212" i="2" s="1"/>
  <c r="F2274" i="2"/>
  <c r="G2274" i="2" s="1"/>
  <c r="F2216" i="2"/>
  <c r="G2216" i="2" s="1"/>
  <c r="F2278" i="2"/>
  <c r="G2278" i="2" s="1"/>
  <c r="G2306" i="2"/>
  <c r="G2281" i="2"/>
  <c r="F2048" i="7"/>
  <c r="G2048" i="7" s="1"/>
  <c r="G1957" i="7"/>
  <c r="G1931" i="7"/>
  <c r="G2309" i="2" s="1"/>
  <c r="G2308" i="2"/>
  <c r="F2282" i="2"/>
  <c r="F2220" i="2"/>
  <c r="G2220" i="2" s="1"/>
  <c r="F2218" i="2"/>
  <c r="G2218" i="2" s="1"/>
  <c r="F2280" i="2"/>
  <c r="G2280" i="2" s="1"/>
  <c r="G1814" i="7"/>
  <c r="G1770" i="7"/>
  <c r="G1784" i="7"/>
  <c r="F2214" i="2"/>
  <c r="G2214" i="2" s="1"/>
  <c r="F2210" i="2"/>
  <c r="G2210" i="2" s="1"/>
  <c r="G2194" i="2" s="1"/>
  <c r="B2195" i="2" s="1"/>
  <c r="G1640" i="7"/>
  <c r="F2264" i="7" s="1"/>
  <c r="G2264" i="7" s="1"/>
  <c r="G2270" i="7" s="1"/>
  <c r="G2272" i="7" s="1"/>
  <c r="F2208" i="2"/>
  <c r="G2208" i="2" s="1"/>
  <c r="G1625" i="7"/>
  <c r="G1612" i="7"/>
  <c r="F2206" i="2"/>
  <c r="G2206" i="2" s="1"/>
  <c r="G1210" i="7"/>
  <c r="G629" i="2"/>
  <c r="G631" i="2" s="1"/>
  <c r="G632" i="2" s="1"/>
  <c r="B633" i="2" s="1"/>
  <c r="G1182" i="7"/>
  <c r="B53" i="2"/>
  <c r="B76" i="2"/>
  <c r="P11" i="1" s="1"/>
  <c r="Q11" i="1" s="1"/>
  <c r="Q13" i="1" s="1"/>
  <c r="C6" i="8" s="1"/>
  <c r="I6" i="8" l="1"/>
  <c r="I11" i="8"/>
  <c r="O23" i="8"/>
  <c r="U18" i="8"/>
  <c r="O18" i="8"/>
  <c r="I18" i="8"/>
  <c r="O19" i="8"/>
  <c r="Q82" i="1"/>
  <c r="Q350" i="1"/>
  <c r="Q143" i="1"/>
  <c r="Q272" i="1"/>
  <c r="Q98" i="1"/>
  <c r="Q107" i="1"/>
  <c r="Q237" i="1"/>
  <c r="Q280" i="1"/>
  <c r="Q304" i="1"/>
  <c r="Q112" i="1"/>
  <c r="Q360" i="1"/>
  <c r="Q359" i="1"/>
  <c r="Q217" i="1"/>
  <c r="Q214" i="1"/>
  <c r="Q240" i="1"/>
  <c r="Q238" i="1"/>
  <c r="Q285" i="1"/>
  <c r="Q308" i="1"/>
  <c r="Q265" i="1"/>
  <c r="Q348" i="1"/>
  <c r="Q220" i="1"/>
  <c r="Q205" i="1"/>
  <c r="Q86" i="1"/>
  <c r="Q113" i="1"/>
  <c r="Q241" i="1"/>
  <c r="Q353" i="1"/>
  <c r="Q307" i="1"/>
  <c r="Q263" i="1"/>
  <c r="Q309" i="1"/>
  <c r="Q290" i="1"/>
  <c r="P200" i="1"/>
  <c r="P271" i="1"/>
  <c r="P339" i="1"/>
  <c r="P275" i="1"/>
  <c r="G2285" i="2"/>
  <c r="P211" i="1"/>
  <c r="C964" i="2"/>
  <c r="Q59" i="1"/>
  <c r="Q60" i="1"/>
  <c r="Q56" i="1"/>
  <c r="B190" i="2"/>
  <c r="Q32" i="1"/>
  <c r="Q33" i="1" s="1"/>
  <c r="Q42" i="1"/>
  <c r="Q43" i="1"/>
  <c r="P352" i="1"/>
  <c r="P48" i="1"/>
  <c r="Q48" i="1" s="1"/>
  <c r="G3007" i="2"/>
  <c r="G3008" i="2" s="1"/>
  <c r="B3009" i="2" s="1"/>
  <c r="B3011" i="2" s="1"/>
  <c r="B3012" i="2" s="1"/>
  <c r="P274" i="1" s="1"/>
  <c r="B2197" i="2"/>
  <c r="B2198" i="2" s="1"/>
  <c r="G1674" i="2"/>
  <c r="B1675" i="2" s="1"/>
  <c r="B1677" i="2" s="1"/>
  <c r="B1678" i="2" s="1"/>
  <c r="P218" i="1" s="1"/>
  <c r="G1586" i="2"/>
  <c r="B1587" i="2" s="1"/>
  <c r="B1589" i="2" s="1"/>
  <c r="B1590" i="2" s="1"/>
  <c r="P215" i="1" s="1"/>
  <c r="G1702" i="2"/>
  <c r="B1703" i="2" s="1"/>
  <c r="B1705" i="2" s="1"/>
  <c r="B1706" i="2" s="1"/>
  <c r="P219" i="1" s="1"/>
  <c r="G740" i="2"/>
  <c r="B741" i="2" s="1"/>
  <c r="B743" i="2" s="1"/>
  <c r="B744" i="2" s="1"/>
  <c r="P85" i="1" s="1"/>
  <c r="Q85" i="1" s="1"/>
  <c r="G354" i="2"/>
  <c r="G356" i="2" s="1"/>
  <c r="B357" i="2" s="1"/>
  <c r="B359" i="2" s="1"/>
  <c r="B360" i="2" s="1"/>
  <c r="Q61" i="1" s="1"/>
  <c r="G2035" i="2"/>
  <c r="G2036" i="2" s="1"/>
  <c r="B2037" i="2" s="1"/>
  <c r="B2039" i="2" s="1"/>
  <c r="B2040" i="2" s="1"/>
  <c r="G2870" i="2"/>
  <c r="G2878" i="2" s="1"/>
  <c r="G2879" i="2" s="1"/>
  <c r="B2880" i="2" s="1"/>
  <c r="B2882" i="2" s="1"/>
  <c r="B2883" i="2" s="1"/>
  <c r="G2910" i="2"/>
  <c r="G2916" i="2" s="1"/>
  <c r="G2917" i="2" s="1"/>
  <c r="B2918" i="2" s="1"/>
  <c r="B2920" i="2" s="1"/>
  <c r="G2227" i="7"/>
  <c r="P49" i="1"/>
  <c r="P336" i="1"/>
  <c r="P335" i="1"/>
  <c r="P46" i="1"/>
  <c r="B2683" i="2"/>
  <c r="B2684" i="2" s="1"/>
  <c r="B2992" i="2"/>
  <c r="B2993" i="2" s="1"/>
  <c r="B2856" i="2"/>
  <c r="B2857" i="2" s="1"/>
  <c r="P281" i="1" s="1"/>
  <c r="B2451" i="2"/>
  <c r="B2452" i="2" s="1"/>
  <c r="P194" i="1" s="1"/>
  <c r="B1398" i="2"/>
  <c r="B1399" i="2" s="1"/>
  <c r="P343" i="1"/>
  <c r="B2488" i="2"/>
  <c r="B2489" i="2" s="1"/>
  <c r="B614" i="2"/>
  <c r="B615" i="2" s="1"/>
  <c r="P351" i="1" s="1"/>
  <c r="B882" i="2"/>
  <c r="B883" i="2" s="1"/>
  <c r="P92" i="1" s="1"/>
  <c r="B800" i="2"/>
  <c r="B801" i="2" s="1"/>
  <c r="P87" i="1" s="1"/>
  <c r="B506" i="2"/>
  <c r="B507" i="2" s="1"/>
  <c r="B635" i="2"/>
  <c r="B636" i="2" s="1"/>
  <c r="B2819" i="2"/>
  <c r="B2820" i="2" s="1"/>
  <c r="P259" i="1" s="1"/>
  <c r="B2105" i="2"/>
  <c r="B2106" i="2" s="1"/>
  <c r="P355" i="1" s="1"/>
  <c r="P344" i="1"/>
  <c r="G2052" i="7"/>
  <c r="G2053" i="7" s="1"/>
  <c r="G2080" i="2"/>
  <c r="G1346" i="7"/>
  <c r="G1352" i="7" s="1"/>
  <c r="F710" i="2" s="1"/>
  <c r="G710" i="2" s="1"/>
  <c r="G712" i="2" s="1"/>
  <c r="G2071" i="2"/>
  <c r="G2079" i="2" s="1"/>
  <c r="G1450" i="2"/>
  <c r="G1451" i="2" s="1"/>
  <c r="B1452" i="2" s="1"/>
  <c r="G2224" i="2"/>
  <c r="G2225" i="2" s="1"/>
  <c r="B2226" i="2" s="1"/>
  <c r="G2647" i="2"/>
  <c r="G2648" i="2" s="1"/>
  <c r="B2649" i="2" s="1"/>
  <c r="G2664" i="2"/>
  <c r="B2665" i="2" s="1"/>
  <c r="G1369" i="7"/>
  <c r="G1347" i="7"/>
  <c r="G1353" i="7" s="1"/>
  <c r="G2146" i="7"/>
  <c r="G2390" i="2"/>
  <c r="G2396" i="2" s="1"/>
  <c r="G2397" i="2" s="1"/>
  <c r="B2398" i="2" s="1"/>
  <c r="G1983" i="7"/>
  <c r="G2307" i="2"/>
  <c r="G2039" i="7"/>
  <c r="F2063" i="7" s="1"/>
  <c r="G2063" i="7" s="1"/>
  <c r="G2065" i="7" s="1"/>
  <c r="G1944" i="7"/>
  <c r="G2310" i="2" s="1"/>
  <c r="G2316" i="2" s="1"/>
  <c r="G2282" i="2"/>
  <c r="Q44" i="1" l="1"/>
  <c r="C12" i="8" s="1"/>
  <c r="I12" i="8" s="1"/>
  <c r="Q63" i="1"/>
  <c r="C14" i="8" s="1"/>
  <c r="Q314" i="1"/>
  <c r="C32" i="8" s="1"/>
  <c r="C9" i="8"/>
  <c r="Q255" i="1"/>
  <c r="C29" i="8" s="1"/>
  <c r="Q339" i="1"/>
  <c r="Q194" i="1"/>
  <c r="Q275" i="1"/>
  <c r="Q281" i="1"/>
  <c r="Q335" i="1"/>
  <c r="Q218" i="1"/>
  <c r="Q355" i="1"/>
  <c r="Q343" i="1"/>
  <c r="Q271" i="1"/>
  <c r="Q351" i="1"/>
  <c r="Q215" i="1"/>
  <c r="Q344" i="1"/>
  <c r="Q352" i="1"/>
  <c r="Q211" i="1"/>
  <c r="Q87" i="1"/>
  <c r="Q336" i="1"/>
  <c r="Q259" i="1"/>
  <c r="Q92" i="1"/>
  <c r="Q219" i="1"/>
  <c r="Q274" i="1"/>
  <c r="Q200" i="1"/>
  <c r="P258" i="1"/>
  <c r="P264" i="1"/>
  <c r="Q46" i="1"/>
  <c r="Q49" i="1"/>
  <c r="P97" i="1"/>
  <c r="B2921" i="2"/>
  <c r="P267" i="1" s="1"/>
  <c r="F2284" i="2"/>
  <c r="G2284" i="2" s="1"/>
  <c r="G2286" i="2" s="1"/>
  <c r="G2287" i="2" s="1"/>
  <c r="B2288" i="2" s="1"/>
  <c r="P47" i="1"/>
  <c r="Q47" i="1" s="1"/>
  <c r="B2651" i="2"/>
  <c r="B2652" i="2" s="1"/>
  <c r="P260" i="1" s="1"/>
  <c r="B2228" i="2"/>
  <c r="B2229" i="2" s="1"/>
  <c r="B1454" i="2"/>
  <c r="B1455" i="2" s="1"/>
  <c r="P108" i="1" s="1"/>
  <c r="Q108" i="1" s="1"/>
  <c r="Q114" i="1" s="1"/>
  <c r="C24" i="8" s="1"/>
  <c r="U24" i="8" s="1"/>
  <c r="B2400" i="2"/>
  <c r="B2401" i="2" s="1"/>
  <c r="P338" i="1" s="1"/>
  <c r="Q338" i="1" s="1"/>
  <c r="B2667" i="2"/>
  <c r="B2668" i="2" s="1"/>
  <c r="G2081" i="2"/>
  <c r="B2082" i="2" s="1"/>
  <c r="B2084" i="2" s="1"/>
  <c r="G833" i="2"/>
  <c r="B834" i="2" s="1"/>
  <c r="B836" i="2" s="1"/>
  <c r="G815" i="2"/>
  <c r="B816" i="2" s="1"/>
  <c r="B818" i="2" s="1"/>
  <c r="F711" i="2"/>
  <c r="G711" i="2" s="1"/>
  <c r="G713" i="2" s="1"/>
  <c r="G714" i="2" s="1"/>
  <c r="B715" i="2" s="1"/>
  <c r="G1354" i="7"/>
  <c r="G1984" i="7"/>
  <c r="F2253" i="2"/>
  <c r="G2253" i="2" s="1"/>
  <c r="G2255" i="2" s="1"/>
  <c r="G2256" i="2" s="1"/>
  <c r="B2257" i="2" s="1"/>
  <c r="G2066" i="7"/>
  <c r="F2315" i="2"/>
  <c r="G2315" i="2" s="1"/>
  <c r="G2317" i="2" s="1"/>
  <c r="G2318" i="2" s="1"/>
  <c r="B2319" i="2" s="1"/>
  <c r="G2040" i="7"/>
  <c r="G4273" i="2"/>
  <c r="G4272" i="2"/>
  <c r="G4271" i="2"/>
  <c r="G4270" i="2"/>
  <c r="G4269" i="2"/>
  <c r="G4268" i="2"/>
  <c r="G4267" i="2"/>
  <c r="G4266" i="2"/>
  <c r="G4265" i="2"/>
  <c r="P294" i="1"/>
  <c r="Q294" i="1" s="1"/>
  <c r="Q295" i="1" s="1"/>
  <c r="C31" i="8" s="1"/>
  <c r="U31" i="8" s="1"/>
  <c r="U32" i="8" l="1"/>
  <c r="O32" i="8"/>
  <c r="O29" i="8"/>
  <c r="U29" i="8"/>
  <c r="Q51" i="1"/>
  <c r="C13" i="8" s="1"/>
  <c r="I13" i="8" s="1"/>
  <c r="O24" i="8"/>
  <c r="I24" i="8"/>
  <c r="I9" i="8"/>
  <c r="I14" i="8"/>
  <c r="Q264" i="1"/>
  <c r="Q258" i="1"/>
  <c r="Q267" i="1"/>
  <c r="Q260" i="1"/>
  <c r="Q97" i="1"/>
  <c r="P257" i="1"/>
  <c r="B2321" i="2"/>
  <c r="B2322" i="2" s="1"/>
  <c r="B717" i="2"/>
  <c r="B2290" i="2"/>
  <c r="B2291" i="2" s="1"/>
  <c r="B2259" i="2"/>
  <c r="B2260" i="2" s="1"/>
  <c r="B2085" i="2"/>
  <c r="B819" i="2"/>
  <c r="P88" i="1" s="1"/>
  <c r="B837" i="2"/>
  <c r="P89" i="1" s="1"/>
  <c r="G4274" i="2"/>
  <c r="B4280" i="2" s="1"/>
  <c r="G4275" i="2"/>
  <c r="Q64" i="1" l="1"/>
  <c r="Q99" i="1"/>
  <c r="Q120" i="1"/>
  <c r="Q121" i="1"/>
  <c r="Q257" i="1"/>
  <c r="Q89" i="1"/>
  <c r="Q119" i="1"/>
  <c r="Q88" i="1"/>
  <c r="B718" i="2"/>
  <c r="C18" i="5"/>
  <c r="P333" i="1"/>
  <c r="P356" i="1"/>
  <c r="Q356" i="1" s="1"/>
  <c r="Q362" i="1" s="1"/>
  <c r="P342" i="1"/>
  <c r="Q342" i="1" s="1"/>
  <c r="Q346" i="1" s="1"/>
  <c r="P334" i="1"/>
  <c r="G4276" i="2"/>
  <c r="B4279" i="2" s="1"/>
  <c r="B4281" i="2" s="1"/>
  <c r="B4282" i="2" s="1"/>
  <c r="Q104" i="1" l="1"/>
  <c r="C16" i="5" s="1"/>
  <c r="C22" i="8"/>
  <c r="C36" i="8"/>
  <c r="I36" i="8" s="1"/>
  <c r="C37" i="8"/>
  <c r="O37" i="8" s="1"/>
  <c r="Q93" i="1"/>
  <c r="C20" i="8" s="1"/>
  <c r="Q333" i="1"/>
  <c r="Q334" i="1"/>
  <c r="Q140" i="1"/>
  <c r="G2354" i="2"/>
  <c r="B2355" i="2" s="1"/>
  <c r="H19" i="4"/>
  <c r="G19" i="4"/>
  <c r="H36" i="4"/>
  <c r="I36" i="4" s="1"/>
  <c r="H37" i="4"/>
  <c r="I37" i="4" s="1"/>
  <c r="Q340" i="1" l="1"/>
  <c r="C35" i="8" s="1"/>
  <c r="I35" i="8" s="1"/>
  <c r="AA20" i="8"/>
  <c r="U20" i="8"/>
  <c r="O20" i="8"/>
  <c r="I20" i="8"/>
  <c r="U22" i="8"/>
  <c r="C10" i="5"/>
  <c r="I38" i="4"/>
  <c r="B2357" i="2"/>
  <c r="B2358" i="2" s="1"/>
  <c r="G3948" i="2"/>
  <c r="G3949" i="2"/>
  <c r="G3950" i="2"/>
  <c r="G3947" i="2"/>
  <c r="G3902" i="2"/>
  <c r="G3903" i="2" s="1"/>
  <c r="G3901" i="2"/>
  <c r="G3904" i="2" s="1"/>
  <c r="G3878" i="2"/>
  <c r="G3879" i="2"/>
  <c r="G3880" i="2"/>
  <c r="G3881" i="2"/>
  <c r="G3877" i="2"/>
  <c r="G3805" i="2"/>
  <c r="G3806" i="2"/>
  <c r="G3807" i="2"/>
  <c r="G3808" i="2"/>
  <c r="G3809" i="2"/>
  <c r="G3810" i="2"/>
  <c r="G3811" i="2"/>
  <c r="G3812" i="2"/>
  <c r="G3804" i="2"/>
  <c r="G3832" i="2"/>
  <c r="G3833" i="2"/>
  <c r="G3834" i="2"/>
  <c r="G3831" i="2"/>
  <c r="G3775" i="2"/>
  <c r="G3776" i="2"/>
  <c r="G3777" i="2"/>
  <c r="G3778" i="2"/>
  <c r="G3779" i="2"/>
  <c r="G3780" i="2"/>
  <c r="G3781" i="2"/>
  <c r="G3782" i="2"/>
  <c r="G3774" i="2"/>
  <c r="L76" i="1"/>
  <c r="G40" i="8" l="1"/>
  <c r="Q366" i="1"/>
  <c r="C22" i="5" s="1"/>
  <c r="Q142" i="1"/>
  <c r="C14" i="5"/>
  <c r="G3952" i="2"/>
  <c r="B3958" i="2" s="1"/>
  <c r="G3953" i="2"/>
  <c r="G3905" i="2"/>
  <c r="B3908" i="2" s="1"/>
  <c r="B3909" i="2"/>
  <c r="G3836" i="2"/>
  <c r="G3884" i="2"/>
  <c r="G3883" i="2"/>
  <c r="B3889" i="2" s="1"/>
  <c r="G3813" i="2"/>
  <c r="B3819" i="2" s="1"/>
  <c r="G3835" i="2"/>
  <c r="B3841" i="2" s="1"/>
  <c r="G3784" i="2"/>
  <c r="B3790" i="2" s="1"/>
  <c r="G3814" i="2"/>
  <c r="G3785" i="2"/>
  <c r="G3458" i="2"/>
  <c r="G3455" i="2"/>
  <c r="G3456" i="2"/>
  <c r="G3457" i="2"/>
  <c r="G3454" i="2"/>
  <c r="G3443" i="2"/>
  <c r="G3444" i="2"/>
  <c r="G3445" i="2"/>
  <c r="G3446" i="2"/>
  <c r="G3442" i="2"/>
  <c r="G3424" i="2"/>
  <c r="G3425" i="2"/>
  <c r="G3426" i="2"/>
  <c r="G3427" i="2"/>
  <c r="G3428" i="2"/>
  <c r="G3429" i="2"/>
  <c r="G3430" i="2"/>
  <c r="G3431" i="2"/>
  <c r="G3432" i="2"/>
  <c r="G3433" i="2"/>
  <c r="G3434" i="2"/>
  <c r="G3423" i="2"/>
  <c r="G3410" i="2"/>
  <c r="G3411" i="2"/>
  <c r="G3412" i="2"/>
  <c r="G3413" i="2"/>
  <c r="G3414" i="2"/>
  <c r="G3415" i="2"/>
  <c r="G3409" i="2"/>
  <c r="P210" i="1"/>
  <c r="P273" i="1"/>
  <c r="Q210" i="1" l="1"/>
  <c r="Q233" i="1" s="1"/>
  <c r="C28" i="8" s="1"/>
  <c r="O28" i="8" s="1"/>
  <c r="Q273" i="1"/>
  <c r="Q292" i="1" s="1"/>
  <c r="C30" i="8" s="1"/>
  <c r="O30" i="8" s="1"/>
  <c r="G3954" i="2"/>
  <c r="B3957" i="2" s="1"/>
  <c r="B3959" i="2" s="1"/>
  <c r="B3960" i="2" s="1"/>
  <c r="B3910" i="2"/>
  <c r="B3911" i="2" s="1"/>
  <c r="G3815" i="2"/>
  <c r="B3818" i="2" s="1"/>
  <c r="B3820" i="2" s="1"/>
  <c r="B3821" i="2" s="1"/>
  <c r="G3786" i="2"/>
  <c r="B3789" i="2" s="1"/>
  <c r="B3791" i="2" s="1"/>
  <c r="G3885" i="2"/>
  <c r="B3888" i="2" s="1"/>
  <c r="B3890" i="2" s="1"/>
  <c r="B3891" i="2" s="1"/>
  <c r="G3837" i="2"/>
  <c r="B3840" i="2" s="1"/>
  <c r="B3842" i="2" s="1"/>
  <c r="B3843" i="2" s="1"/>
  <c r="H3449" i="2"/>
  <c r="H3461" i="2"/>
  <c r="H3437" i="2"/>
  <c r="H3460" i="2"/>
  <c r="H3417" i="2"/>
  <c r="H3448" i="2"/>
  <c r="H3436" i="2"/>
  <c r="H3416" i="2"/>
  <c r="G3381" i="2"/>
  <c r="B3382" i="2" s="1"/>
  <c r="P193" i="1"/>
  <c r="Q193" i="1" s="1"/>
  <c r="Q207" i="1" s="1"/>
  <c r="C27" i="8" s="1"/>
  <c r="O27" i="8" s="1"/>
  <c r="Q118" i="1"/>
  <c r="Q191" i="1" s="1"/>
  <c r="C26" i="8" s="1"/>
  <c r="I26" i="8" l="1"/>
  <c r="U26" i="8"/>
  <c r="O26" i="8"/>
  <c r="S40" i="8"/>
  <c r="M40" i="8"/>
  <c r="Q315" i="1"/>
  <c r="B3384" i="2"/>
  <c r="B3385" i="2" s="1"/>
  <c r="B3792" i="2"/>
  <c r="H3438" i="2"/>
  <c r="H3439" i="2" s="1"/>
  <c r="H3462" i="2"/>
  <c r="H3463" i="2" s="1"/>
  <c r="H3450" i="2"/>
  <c r="H3451" i="2" s="1"/>
  <c r="H3418" i="2"/>
  <c r="H3419" i="2" s="1"/>
  <c r="N39" i="4"/>
  <c r="Q40" i="8" l="1"/>
  <c r="O40" i="4"/>
  <c r="O39" i="4"/>
  <c r="O41" i="4" l="1"/>
  <c r="O42" i="4" s="1"/>
  <c r="P29" i="1" s="1"/>
  <c r="Q29" i="1" l="1"/>
  <c r="B8" i="5"/>
  <c r="B6" i="5"/>
  <c r="C12" i="5" l="1"/>
  <c r="A8" i="5" l="1"/>
  <c r="A6" i="5"/>
  <c r="D19" i="4" l="1"/>
  <c r="L15" i="4"/>
  <c r="M15" i="4" s="1"/>
  <c r="N15" i="4" s="1"/>
  <c r="O15" i="4" s="1"/>
  <c r="L14" i="4"/>
  <c r="M14" i="4" s="1"/>
  <c r="N14" i="4" s="1"/>
  <c r="O14" i="4" s="1"/>
  <c r="L13" i="4"/>
  <c r="M13" i="4" s="1"/>
  <c r="N13" i="4" s="1"/>
  <c r="O13" i="4" s="1"/>
  <c r="L12" i="4"/>
  <c r="L11" i="4"/>
  <c r="M11" i="4" s="1"/>
  <c r="N11" i="4" s="1"/>
  <c r="O11" i="4" s="1"/>
  <c r="M12" i="4" l="1"/>
  <c r="N12" i="4" s="1"/>
  <c r="O12" i="4" s="1"/>
  <c r="L19" i="4"/>
  <c r="M19" i="4" l="1"/>
  <c r="O20" i="4" l="1"/>
  <c r="O21" i="4" l="1"/>
  <c r="O22" i="4" s="1"/>
  <c r="O23" i="4" s="1"/>
  <c r="P27" i="1" l="1"/>
  <c r="Q27" i="1" l="1"/>
  <c r="Q30" i="1" s="1"/>
  <c r="C20" i="5"/>
  <c r="C8" i="5"/>
  <c r="C8" i="8" l="1"/>
  <c r="Q34" i="1"/>
  <c r="Q368" i="1" s="1"/>
  <c r="I8" i="8" l="1"/>
  <c r="I40" i="8" s="1"/>
  <c r="AA8" i="8"/>
  <c r="AA40" i="8" s="1"/>
  <c r="U8" i="8"/>
  <c r="U40" i="8" s="1"/>
  <c r="O8" i="8"/>
  <c r="O40" i="8" s="1"/>
  <c r="C39" i="8"/>
  <c r="D8" i="8" s="1"/>
  <c r="C6" i="5"/>
  <c r="C26" i="5" s="1"/>
  <c r="D14" i="5" s="1"/>
  <c r="C40" i="8" l="1"/>
  <c r="C42" i="8" s="1"/>
  <c r="D26" i="8"/>
  <c r="D33" i="8"/>
  <c r="D34" i="8"/>
  <c r="D25" i="8"/>
  <c r="D21" i="8"/>
  <c r="D16" i="8"/>
  <c r="D10" i="8"/>
  <c r="D17" i="8"/>
  <c r="D15" i="8"/>
  <c r="D7" i="8"/>
  <c r="D11" i="8"/>
  <c r="D19" i="8"/>
  <c r="D6" i="8"/>
  <c r="D23" i="8"/>
  <c r="D38" i="8"/>
  <c r="D18" i="8"/>
  <c r="D29" i="8"/>
  <c r="D32" i="8"/>
  <c r="D9" i="8"/>
  <c r="D12" i="8"/>
  <c r="D13" i="8"/>
  <c r="D24" i="8"/>
  <c r="D31" i="8"/>
  <c r="D14" i="8"/>
  <c r="D20" i="8"/>
  <c r="D35" i="8"/>
  <c r="D22" i="8"/>
  <c r="D36" i="8"/>
  <c r="D37" i="8"/>
  <c r="D27" i="8"/>
  <c r="D28" i="8"/>
  <c r="D30" i="8"/>
  <c r="D20" i="5"/>
  <c r="D22" i="5"/>
  <c r="D26" i="5"/>
  <c r="D12" i="5"/>
  <c r="D8" i="5"/>
  <c r="D10" i="5"/>
  <c r="D6" i="5"/>
  <c r="D16" i="5"/>
  <c r="D18" i="5"/>
  <c r="D3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C. Saltore</author>
  </authors>
  <commentList>
    <comment ref="F231" authorId="0" shapeId="0" xr:uid="{EDED1DAD-8394-410C-B52B-D92E7ACCCEFC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não desonerado</t>
        </r>
      </text>
    </comment>
    <comment ref="F734" authorId="0" shapeId="0" xr:uid="{DCB65F56-B4CE-4964-AA95-D64BD3965F02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1.060PÇ</t>
        </r>
      </text>
    </comment>
    <comment ref="E1583" authorId="0" shapeId="0" xr:uid="{85257C20-DEB5-4E8E-B67A-5FAD926188F7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0,3X0,4=0,12x4 LADOS = 0,48/0,01 (AREA TIJOLINHO) = 48X1,20 (COEF ORCAFASCIO) = 57,60</t>
        </r>
      </text>
    </comment>
    <comment ref="E1611" authorId="0" shapeId="0" xr:uid="{A5906215-EB66-4BB8-A077-99769E2F1AF9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0,4X0,7=0,28x4 LADOS = 1,12/0,01 (AREA TIJOLINHO) = 112X1,20 (COEF ORCAFASCIO) = 134,4</t>
        </r>
      </text>
    </comment>
    <comment ref="E1643" authorId="0" shapeId="0" xr:uid="{33F33DF3-5401-481F-9FE9-54847B6454ED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1,5X0,41=0,615x4 LADOS = 2,46/0,01 (AREA TIJOLINHO) = 246X1,20 (COEF ORCAFASCIO) = 295,201</t>
        </r>
      </text>
    </comment>
    <comment ref="E1671" authorId="0" shapeId="0" xr:uid="{E95BEFFA-8B8E-438E-8992-C858201761D8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0,4x0,22x4 = 0,352/0,01(area tijolinho) = 35,2 x 1,20 (coef Orcafascio) = 42,24</t>
        </r>
      </text>
    </comment>
    <comment ref="E1699" authorId="0" shapeId="0" xr:uid="{58E66FE1-58C6-4DD1-81F5-AE5002383E98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0,4x0,36x4 = 0,576/0,01(area tijolinho) = 57,6 x 1,20 (coef Orcafascio) = 69,12un</t>
        </r>
      </text>
    </comment>
    <comment ref="E1731" authorId="0" shapeId="0" xr:uid="{57E043DA-EFA2-41C2-8896-7B66B3633D5A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0,1X0,90=0,9,x2 LADOS = 1,8/0,01 (AREA TIJOLINHO) = 180X1,20 (COEF ORCAFASCIO) = 216
0,7x0,9x2=1,26/0,01=126x1,20=151,20
216+151,20=367,2</t>
        </r>
      </text>
    </comment>
    <comment ref="E1763" authorId="0" shapeId="0" xr:uid="{BABD7223-7258-467A-8851-4C41BD7D5833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0,6X0,5=0,9,x4 LADOS = 1,2/0,01 (AREA TIJOLINHO) = 120X1,20 (COEF ORCAFASCIO) = 144</t>
        </r>
      </text>
    </comment>
    <comment ref="E1795" authorId="0" shapeId="0" xr:uid="{4DEC77A8-459B-40D4-8A43-80255C4B489C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0,6X1,x4 LADOS = 2,4/0,01 (AREA TIJOLINHO) = 240X1,20 (COEF ORCAFASCIO) = 288un</t>
        </r>
      </text>
    </comment>
    <comment ref="E1827" authorId="0" shapeId="0" xr:uid="{BD86F9C8-F538-4934-BA55-5E91A31CAEEB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0,7X0,85x2 LADOS = 1,19/0,01 (AREA TIJOLINHO) = 119X1,20 (COEF ORCAFASCIO) = 142,8
0,3x0,85x2 lados= 0,51/0,01=51x1,20=61,20
142,80+61,20=204</t>
        </r>
      </text>
    </comment>
    <comment ref="E1859" authorId="0" shapeId="0" xr:uid="{D6C4CF1A-6659-440E-90E5-C4794ED9659B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0,1X0,90=0,9,x2 LADOS = 1,8/0,01 (AREA TIJOLINHO) = 180X1,20 (COEF ORCAFASCIO) = 216
0,7x0,9x2=1,26/0,01=126x1,20=151,20
216+151,20=367,2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C. Saltore</author>
  </authors>
  <commentList>
    <comment ref="E1878" authorId="0" shapeId="0" xr:uid="{31F6CE35-8BD0-4AAD-864C-6B336180B1EF}">
      <text>
        <r>
          <rPr>
            <b/>
            <sz val="9"/>
            <color indexed="81"/>
            <rFont val="Segoe UI"/>
            <family val="2"/>
          </rPr>
          <t>Vanessa C. Saltore:</t>
        </r>
        <r>
          <rPr>
            <sz val="9"/>
            <color indexed="81"/>
            <rFont val="Segoe UI"/>
            <family val="2"/>
          </rPr>
          <t xml:space="preserve">
2m por barra</t>
        </r>
      </text>
    </comment>
  </commentList>
</comments>
</file>

<file path=xl/sharedStrings.xml><?xml version="1.0" encoding="utf-8"?>
<sst xmlns="http://schemas.openxmlformats.org/spreadsheetml/2006/main" count="15720" uniqueCount="3379">
  <si>
    <t xml:space="preserve"> </t>
  </si>
  <si>
    <t>cj</t>
  </si>
  <si>
    <t/>
  </si>
  <si>
    <t>m³</t>
  </si>
  <si>
    <t>m</t>
  </si>
  <si>
    <t>un</t>
  </si>
  <si>
    <t>1.1</t>
  </si>
  <si>
    <t>1.2</t>
  </si>
  <si>
    <t>1.3</t>
  </si>
  <si>
    <t>3.1</t>
  </si>
  <si>
    <t>4.1</t>
  </si>
  <si>
    <t xml:space="preserve">Total item:   1   </t>
  </si>
  <si>
    <t>m²</t>
  </si>
  <si>
    <t xml:space="preserve">Total item:   2 </t>
  </si>
  <si>
    <t>2.1</t>
  </si>
  <si>
    <t>2.2</t>
  </si>
  <si>
    <t>5.1</t>
  </si>
  <si>
    <t>mês</t>
  </si>
  <si>
    <t>Item</t>
  </si>
  <si>
    <t>Descrição</t>
  </si>
  <si>
    <t>1.1.1</t>
  </si>
  <si>
    <t>1.2.1</t>
  </si>
  <si>
    <t>1.3.1</t>
  </si>
  <si>
    <t>1.1.2</t>
  </si>
  <si>
    <t>1.</t>
  </si>
  <si>
    <t>2.</t>
  </si>
  <si>
    <t>3.</t>
  </si>
  <si>
    <t>4.</t>
  </si>
  <si>
    <t>5.</t>
  </si>
  <si>
    <t>6.</t>
  </si>
  <si>
    <t>Código</t>
  </si>
  <si>
    <t>Administração local da obra - Despesas diversas</t>
  </si>
  <si>
    <t>ITEM</t>
  </si>
  <si>
    <t>CÓDIGO</t>
  </si>
  <si>
    <t>DISCRIMINAÇÃO</t>
  </si>
  <si>
    <t xml:space="preserve">B.D.I. - BONIFICAÇÃO E DESPESAS INDIRETAS </t>
  </si>
  <si>
    <t>CUSTO UNITÁRIO DA REFEIÇÃO</t>
  </si>
  <si>
    <t>CAFÉ DA MANHÃ</t>
  </si>
  <si>
    <t>ALMOÇO / JANTAR</t>
  </si>
  <si>
    <t>FUNCIONÁRIOS</t>
  </si>
  <si>
    <t>CUSTO TOTAL ALIMENTAÇÃO (R$)</t>
  </si>
  <si>
    <t>QUANT.</t>
  </si>
  <si>
    <t>Permanência Obra (mêses)</t>
  </si>
  <si>
    <t>Consumo por Mês</t>
  </si>
  <si>
    <t>Valor Custo (R$)</t>
  </si>
  <si>
    <t>Refeições por Dia</t>
  </si>
  <si>
    <t>Dias</t>
  </si>
  <si>
    <t>Refeições</t>
  </si>
  <si>
    <t>Mensal</t>
  </si>
  <si>
    <t>Esta Obra</t>
  </si>
  <si>
    <t>ALIMENTAÇÃO DO PESSOAL</t>
  </si>
  <si>
    <t>ADMINISTRAÇÃO DIRETA</t>
  </si>
  <si>
    <t>1.3.2</t>
  </si>
  <si>
    <t>1.3.3</t>
  </si>
  <si>
    <t>1.3.4</t>
  </si>
  <si>
    <t xml:space="preserve">Laboratorista </t>
  </si>
  <si>
    <t>T500</t>
  </si>
  <si>
    <t>Encarregado Geral</t>
  </si>
  <si>
    <t>T702</t>
  </si>
  <si>
    <t>Ajudante</t>
  </si>
  <si>
    <t>T708</t>
  </si>
  <si>
    <t>T710</t>
  </si>
  <si>
    <t>T730</t>
  </si>
  <si>
    <t>SUB-TOTAIS PREVISTOS</t>
  </si>
  <si>
    <t>CUSTO DIRETO (MENSAL / TOTAL) PARA ESTA OBRA (R$)</t>
  </si>
  <si>
    <t xml:space="preserve">PRAZO TOTAL PREVISTO PARA A OBRA = </t>
  </si>
  <si>
    <t>MESES</t>
  </si>
  <si>
    <t>PREÇO TOTAL PARA ESTA OBRA (Custo Direto + B.D.I)</t>
  </si>
  <si>
    <t>VALOR MÉDIO MENSAL DA DESPESA COM ALIMENTAÇÃO DO PESSOAL DA ADMINISTRAÇÃO DIRETA (Custo Direto + B.D.I)</t>
  </si>
  <si>
    <t>Pedreiro</t>
  </si>
  <si>
    <t>Servente</t>
  </si>
  <si>
    <t>Quadro resumo do orçamento</t>
  </si>
  <si>
    <t xml:space="preserve">Descrição  </t>
  </si>
  <si>
    <t>Valor</t>
  </si>
  <si>
    <t>%</t>
  </si>
  <si>
    <t>TOTAL GERAL</t>
  </si>
  <si>
    <t>DESCRIÇÃO</t>
  </si>
  <si>
    <t>Un</t>
  </si>
  <si>
    <t xml:space="preserve"> Alimentação do pessoal</t>
  </si>
  <si>
    <t>PRÓPRIA</t>
  </si>
  <si>
    <t>Região de preços:   SINAPI - São Paulo</t>
  </si>
  <si>
    <t>Class</t>
  </si>
  <si>
    <t>Coef</t>
  </si>
  <si>
    <t>Preço unitário (R$) sem taxas</t>
  </si>
  <si>
    <t>Total (R$) sem taxas</t>
  </si>
  <si>
    <t>Consumo</t>
  </si>
  <si>
    <t>LUVA RASPA DE COURO, CANO CURTO (PUNHO *7* CM)</t>
  </si>
  <si>
    <t>MAT</t>
  </si>
  <si>
    <t>BOTA DE SEGURANCA COM BIQUEIRA DE ACO E COLARINHO ACOLCHOADO</t>
  </si>
  <si>
    <t>1,53</t>
  </si>
  <si>
    <t>Total mão-de-obra, sem taxas (R$):</t>
  </si>
  <si>
    <t>0,00</t>
  </si>
  <si>
    <t>Total outros itens, sem taxas (R$):</t>
  </si>
  <si>
    <t>Total geral, sem taxas (R$):</t>
  </si>
  <si>
    <t>Valores Totais (R$)</t>
  </si>
  <si>
    <t xml:space="preserve">Sem taxas: </t>
  </si>
  <si>
    <t xml:space="preserve">LS: </t>
  </si>
  <si>
    <t xml:space="preserve">BDI: </t>
  </si>
  <si>
    <t xml:space="preserve">Com taxas: </t>
  </si>
  <si>
    <t>Quantidade: 1m2        LS(%): 72,37        BDI(%): 24,57</t>
  </si>
  <si>
    <t>m2</t>
  </si>
  <si>
    <t>1</t>
  </si>
  <si>
    <t>kg</t>
  </si>
  <si>
    <t>SERVENTE</t>
  </si>
  <si>
    <t>MOD</t>
  </si>
  <si>
    <t>h</t>
  </si>
  <si>
    <t>2</t>
  </si>
  <si>
    <t>Região de preços:   EMOP - Rio de Janeiro</t>
  </si>
  <si>
    <t>SER</t>
  </si>
  <si>
    <t>88316U</t>
  </si>
  <si>
    <t>SERVENTE COM ENCARGOS COMPLEMENTARES</t>
  </si>
  <si>
    <t>0,14</t>
  </si>
  <si>
    <t>m3</t>
  </si>
  <si>
    <t>Administração da Obra</t>
  </si>
  <si>
    <t>7.</t>
  </si>
  <si>
    <t>Região de preços:   EDIF - São Paulo</t>
  </si>
  <si>
    <t>0,25</t>
  </si>
  <si>
    <t>88309U</t>
  </si>
  <si>
    <t>PEDREIRO COM ENCARGOS COMPLEMENTARES</t>
  </si>
  <si>
    <t>Região de preços:   Cuiabá</t>
  </si>
  <si>
    <t>Quantidade: 1un        LS(%): 72,37        BDI(%): 24,57</t>
  </si>
  <si>
    <t>uni</t>
  </si>
  <si>
    <t>6,46</t>
  </si>
  <si>
    <t>2N 36 16 25 12 29</t>
  </si>
  <si>
    <t>2N 36 16 25 12 34</t>
  </si>
  <si>
    <t>4,80</t>
  </si>
  <si>
    <t>0,8</t>
  </si>
  <si>
    <t>0,08</t>
  </si>
  <si>
    <t>2,58</t>
  </si>
  <si>
    <t>0,01</t>
  </si>
  <si>
    <t>PEDREIRO</t>
  </si>
  <si>
    <t>5.2</t>
  </si>
  <si>
    <t>5.5</t>
  </si>
  <si>
    <t>4,30</t>
  </si>
  <si>
    <t>CARPINTEIRO DE FORMAS COM ENCARGOS COMPLEMENTARES</t>
  </si>
  <si>
    <t>PRÓPRIO</t>
  </si>
  <si>
    <t>SERVIÇOS PRELIMINARES</t>
  </si>
  <si>
    <t>PREGO DE ACO POLIDO COM CABECA 18 X 30 (2 3/4 X 10)</t>
  </si>
  <si>
    <t>0,11</t>
  </si>
  <si>
    <t>88262U</t>
  </si>
  <si>
    <t>11,49</t>
  </si>
  <si>
    <t>SINAPI 74209</t>
  </si>
  <si>
    <t>Pedreiros</t>
  </si>
  <si>
    <t>Carpinteiros</t>
  </si>
  <si>
    <t>Eletricistas</t>
  </si>
  <si>
    <t>custo</t>
  </si>
  <si>
    <t>0,5</t>
  </si>
  <si>
    <t>12,91</t>
  </si>
  <si>
    <t>6,45</t>
  </si>
  <si>
    <t>5</t>
  </si>
  <si>
    <t>Transporte</t>
  </si>
  <si>
    <t>TRANSPORTE DA EQUIPE</t>
  </si>
  <si>
    <t>Alvarás entre outras - Ex.: CREA, INSS, Prefeitura Municipal, etc. fornecendo todos os comprovantes para o SESC</t>
  </si>
  <si>
    <t>PROPRIO</t>
  </si>
  <si>
    <t>Aluguel de Van com 14 lugares</t>
  </si>
  <si>
    <t>20039</t>
  </si>
  <si>
    <t>MAO-DE-OBRA DE BOMBEIRO HIDRAULICO DA CONSTRUCAO CIVIL, INCLUSIVE ENCARGOS SOCIAIS DESONERADOS</t>
  </si>
  <si>
    <t>16,35</t>
  </si>
  <si>
    <t>Combustivel</t>
  </si>
  <si>
    <t>28,73</t>
  </si>
  <si>
    <t>13,60</t>
  </si>
  <si>
    <t>Quantidade: 1m²        LS(%): 72,37        BDI(%): 24,57</t>
  </si>
  <si>
    <t>1,4</t>
  </si>
  <si>
    <t>5,19</t>
  </si>
  <si>
    <t>2,43</t>
  </si>
  <si>
    <t>79,76</t>
  </si>
  <si>
    <t>SINAPI  89957</t>
  </si>
  <si>
    <t>Código:   15.004.0010-A</t>
  </si>
  <si>
    <t>0,24</t>
  </si>
  <si>
    <t>1,17</t>
  </si>
  <si>
    <t>4,944</t>
  </si>
  <si>
    <t>20132</t>
  </si>
  <si>
    <t>MAO-DE-OBRA DE SERVENTE DA CONSTRUCAO CIVIL, INCLUSIVE ENCARGOS SOCIAIS DESONERADOS</t>
  </si>
  <si>
    <t>11,83</t>
  </si>
  <si>
    <t>Alça para barrilete de distribuição do tipo concentrado, sobalça para barrilete de distribuição do tipo concentrado, sobreservatorio duplo, inclusive ramais para extravasor e limpeza</t>
  </si>
  <si>
    <t>EMOP 15.004.0010-A</t>
  </si>
  <si>
    <t>Descrição:   Reservatório para água em fibra de vidro, 1.000 litros com tampa</t>
  </si>
  <si>
    <t>2C 03 08 04 13 11</t>
  </si>
  <si>
    <t>Adesivo para PVC</t>
  </si>
  <si>
    <t>0,05</t>
  </si>
  <si>
    <t>55,68</t>
  </si>
  <si>
    <t>2,78</t>
  </si>
  <si>
    <t>2C 03 08 06 15 06</t>
  </si>
  <si>
    <t>Massa para calafetação</t>
  </si>
  <si>
    <t>0,155</t>
  </si>
  <si>
    <t>26,06</t>
  </si>
  <si>
    <t>2C 03 10 02 11 06</t>
  </si>
  <si>
    <t>Solução limpadora para PVC</t>
  </si>
  <si>
    <t>l</t>
  </si>
  <si>
    <t>34,59</t>
  </si>
  <si>
    <t>2C 10 11 05 11 04</t>
  </si>
  <si>
    <t>Reservatório para água em fibra de vidro, 1.000 litros, com tampa</t>
  </si>
  <si>
    <t>327,00</t>
  </si>
  <si>
    <t>2C 10 12 04 00 10</t>
  </si>
  <si>
    <t>Registro PVC de esfera soldável Ø 25 mm</t>
  </si>
  <si>
    <t>18,08</t>
  </si>
  <si>
    <t>2C 10 12 04 00 11</t>
  </si>
  <si>
    <t>Registro PVC de esfera soldável Ø 32 mm</t>
  </si>
  <si>
    <t>25,12</t>
  </si>
  <si>
    <t>2C 10 12 04 00 13</t>
  </si>
  <si>
    <t>Registro PVC de esfera soldável Ø 50 mm</t>
  </si>
  <si>
    <t>40,89</t>
  </si>
  <si>
    <t>2C 10 18 00 50 46</t>
  </si>
  <si>
    <t>Fita de vedação para tubos e conexões roscáveis, rolo de 50 m x 18 mm</t>
  </si>
  <si>
    <t>0,35</t>
  </si>
  <si>
    <t>2C 10 20 00 00 12</t>
  </si>
  <si>
    <t>Adaptador PVC soldável com flanges e anel para caixa d' água Ø 25 mm x 3/4"</t>
  </si>
  <si>
    <t>11,76</t>
  </si>
  <si>
    <t>2C 10 20 00 00 13</t>
  </si>
  <si>
    <t>Adaptador PVC soldável com flanges e anel para caixa d' água Ø 32 mm x 1"</t>
  </si>
  <si>
    <t>21,00</t>
  </si>
  <si>
    <t>2C 10 20 00 00 15</t>
  </si>
  <si>
    <t>Adaptador PVC soldável com flanges e anel para caixa d' água Ø 50 mm x 1 1/2"</t>
  </si>
  <si>
    <t>28,45</t>
  </si>
  <si>
    <t>2C 10 22 03 00 68</t>
  </si>
  <si>
    <t>Joelho 90º PVC soldável Ø 25 mm</t>
  </si>
  <si>
    <t>0,54</t>
  </si>
  <si>
    <t>2C 10 22 03 00 69</t>
  </si>
  <si>
    <t>Joelho 90º PVC soldável Ø 32 mm</t>
  </si>
  <si>
    <t>2C 10 22 03 00 71</t>
  </si>
  <si>
    <t>Joelho 90º PVC soldável Ø 50 mm</t>
  </si>
  <si>
    <t>3,31</t>
  </si>
  <si>
    <t>2C 12 02 00 01 01</t>
  </si>
  <si>
    <t>Torneira de boia em PVC para caixa d'água Ø 3/4"</t>
  </si>
  <si>
    <t>48,48</t>
  </si>
  <si>
    <t>2C 12 14 00 60 73</t>
  </si>
  <si>
    <t>Tubo PVC soldável Ø 25 mm</t>
  </si>
  <si>
    <t>1,5</t>
  </si>
  <si>
    <t>3,26</t>
  </si>
  <si>
    <t>4,89</t>
  </si>
  <si>
    <t>2C 12 14 00 60 74</t>
  </si>
  <si>
    <t>Tubo PVC soldável Ø 32 mm</t>
  </si>
  <si>
    <t>8,49</t>
  </si>
  <si>
    <t>2C 12 14 00 60 76</t>
  </si>
  <si>
    <t>Tubo PVC soldável Ø 50 mm</t>
  </si>
  <si>
    <t>14,00</t>
  </si>
  <si>
    <t>2C 12 14 06 65 73</t>
  </si>
  <si>
    <t>Tê 90º PVC soldável Ø 32 mm</t>
  </si>
  <si>
    <t>3,25</t>
  </si>
  <si>
    <t>2C 12 14 06 65 75</t>
  </si>
  <si>
    <t>Tê 90º PVC soldável Ø 50 mm</t>
  </si>
  <si>
    <t>8,29</t>
  </si>
  <si>
    <t>37329</t>
  </si>
  <si>
    <t>REJUNTE EPOXI BRANCO</t>
  </si>
  <si>
    <t>0,0257</t>
  </si>
  <si>
    <t>SUPORTE MAO-FRANCESA EM ACO, ABAS IGUAIS 30 CM, CAPACIDADE MINIMA 60 KG, BRANCO</t>
  </si>
  <si>
    <t>MASSA PLASTICA PARA MARMORE/GRANITO</t>
  </si>
  <si>
    <t>0,3844</t>
  </si>
  <si>
    <t>7568</t>
  </si>
  <si>
    <t>BUCHA DE NYLON SEM ABA S10, COM PARAFUSO DE 6,10 X 65 MM EM ACO ZINCADO COM ROSCA SOBERBA, CABECA CHATA E FENDA PHILLIPS</t>
  </si>
  <si>
    <t>6</t>
  </si>
  <si>
    <t>0,43</t>
  </si>
  <si>
    <t>MARMORISTA/GRANITEIRO COM ENCARGOS COMPLEMENTARES</t>
  </si>
  <si>
    <t>1,92</t>
  </si>
  <si>
    <t>12,40</t>
  </si>
  <si>
    <t>0,98</t>
  </si>
  <si>
    <t>86879U</t>
  </si>
  <si>
    <t>VÁLVULA EM PLÁSTICO 1" PARA PIA, TANQUE OU LAVATÓRIO, COM OU SEM LADRÃO - FORNECIMENTO E INSTALAÇÃO. AF_12/2013</t>
  </si>
  <si>
    <t>86883U</t>
  </si>
  <si>
    <t>SIFÃO DO TIPO FLEXÍVEL EM PVC 1? X 1.1/2? - FORNECIMENTO E INSTALAÇÃO. AF_12/2013</t>
  </si>
  <si>
    <t>86884U</t>
  </si>
  <si>
    <t>ENGATE FLEXÍVEL EM PLÁSTICO BRANCO, 1/2" X 30CM - FORNECIMENTO E INSTALAÇÃO. AF_12/2013</t>
  </si>
  <si>
    <t>86904U</t>
  </si>
  <si>
    <t>LAVATÓRIO LOUÇA BRANCA SUSPENSO, 29,5 X 39CM OU EQUIVALENTE, PADRÃO POPULAR - FORNECIMENTO E INSTALAÇÃO. AF_12/2013</t>
  </si>
  <si>
    <t>TORNEIRA CROMADA DE MESA, 1/2" OU 3/4", PARA LAVATÓRIO, PADRÃO POPULAR - FORNECIMENTO E INSTALAÇÃO. AF_12/2013</t>
  </si>
  <si>
    <t>3146</t>
  </si>
  <si>
    <t>FITA VEDA ROSCA EM ROLOS DE 18 MM X 10 M (L X C)</t>
  </si>
  <si>
    <t>0,0304</t>
  </si>
  <si>
    <t>1,90</t>
  </si>
  <si>
    <t>0,06</t>
  </si>
  <si>
    <t>88267U</t>
  </si>
  <si>
    <t>ENCANADOR OU BOMBEIRO HIDRÁULICO COM ENCARGOS COMPLEMENTARES</t>
  </si>
  <si>
    <t>0,1</t>
  </si>
  <si>
    <t>14,12</t>
  </si>
  <si>
    <t>0,34</t>
  </si>
  <si>
    <t>1,11</t>
  </si>
  <si>
    <t>15,10</t>
  </si>
  <si>
    <t>SINAPI  86915</t>
  </si>
  <si>
    <t>0,07</t>
  </si>
  <si>
    <t>ELETRICISTA COM ENCARGOS COMPLEMENTARES</t>
  </si>
  <si>
    <t>0,45</t>
  </si>
  <si>
    <t>0,3</t>
  </si>
  <si>
    <t>Código:   3R 23 14 00 00 39 10 01 05</t>
  </si>
  <si>
    <t>Ponto de esgoto primário com tubo PVC e conexões Ø 100 mm</t>
  </si>
  <si>
    <t>TCPO  3R 23 14 00 00 39 10 01 05</t>
  </si>
  <si>
    <t>3</t>
  </si>
  <si>
    <t>15,63</t>
  </si>
  <si>
    <t>3,12</t>
  </si>
  <si>
    <t>Ponto de esgoto secundário com tubo PVC e conexões Ø 50 mm</t>
  </si>
  <si>
    <t>TCPO  3R 23 14 00 00 39 10 01 06</t>
  </si>
  <si>
    <t>11741</t>
  </si>
  <si>
    <t>RALO SIFONADO PVC CILINDRICO, 100 X 40 MM,  COM GRELHA REDONDA BRANCA</t>
  </si>
  <si>
    <t>5,05</t>
  </si>
  <si>
    <t>122</t>
  </si>
  <si>
    <t>ADESIVO PLASTICO PARA PVC, FRASCO COM 850 GR</t>
  </si>
  <si>
    <t>0,0049</t>
  </si>
  <si>
    <t>37,67</t>
  </si>
  <si>
    <t>0,18</t>
  </si>
  <si>
    <t>20083</t>
  </si>
  <si>
    <t>SOLUCAO LIMPADORA PARA PVC, FRASCO COM 1000 CM3</t>
  </si>
  <si>
    <t>0,0075</t>
  </si>
  <si>
    <t>32,71</t>
  </si>
  <si>
    <t>38383</t>
  </si>
  <si>
    <t>LIXA DAGUA EM FOLHA, GRAO 100</t>
  </si>
  <si>
    <t>0,017</t>
  </si>
  <si>
    <t>1,72</t>
  </si>
  <si>
    <t>88248U</t>
  </si>
  <si>
    <t>AUXILIAR DE ENCANADOR OU BOMBEIRO HIDRÁULICO COM ENCARGOS COMPLEMENTARES</t>
  </si>
  <si>
    <t>1,12</t>
  </si>
  <si>
    <t>6,21</t>
  </si>
  <si>
    <t>7,33</t>
  </si>
  <si>
    <t>2,00</t>
  </si>
  <si>
    <t>10,14</t>
  </si>
  <si>
    <t>0,6</t>
  </si>
  <si>
    <t>3,18</t>
  </si>
  <si>
    <t>790</t>
  </si>
  <si>
    <t>07.007.0010-B</t>
  </si>
  <si>
    <t>ARGAMASSA CIM.,SAIBRO,AREIA 1:2:2,PREPARO MECANICO</t>
  </si>
  <si>
    <t>255,14</t>
  </si>
  <si>
    <t>11.001.0001-B</t>
  </si>
  <si>
    <t>CONCRETO FCK 10MPA</t>
  </si>
  <si>
    <t>0,0336</t>
  </si>
  <si>
    <t>209,41</t>
  </si>
  <si>
    <t>11.001.0005-B</t>
  </si>
  <si>
    <t>CONCRETO FCK 15MPA</t>
  </si>
  <si>
    <t>0,0672</t>
  </si>
  <si>
    <t>225,07</t>
  </si>
  <si>
    <t>11.002.0013-B</t>
  </si>
  <si>
    <t>PREPARO CONCR. BETON. 320L; 2,0M3/H</t>
  </si>
  <si>
    <t>0,39</t>
  </si>
  <si>
    <t>58,50</t>
  </si>
  <si>
    <t>11.002.0035-B</t>
  </si>
  <si>
    <t>LANCAMENTO CONC.S/ARM.2,0M3/H, HORIZ.</t>
  </si>
  <si>
    <t>54,03</t>
  </si>
  <si>
    <t>11.013.0003-B</t>
  </si>
  <si>
    <t>VERGAS CONCR. ARMADO P/ ALVEN.</t>
  </si>
  <si>
    <t>0,02</t>
  </si>
  <si>
    <t>1297,42</t>
  </si>
  <si>
    <t>13.001.0025-B</t>
  </si>
  <si>
    <t>EMBOCO ARG. CIM. E AREIA TRACO 1:3</t>
  </si>
  <si>
    <t>2,88</t>
  </si>
  <si>
    <t>20,65</t>
  </si>
  <si>
    <t>20115</t>
  </si>
  <si>
    <t>MAO-DE-OBRA DE PEDREIRO, INCLUSIVE ENCARGOS SOCIAIS DESONERADOS</t>
  </si>
  <si>
    <t>8,5284</t>
  </si>
  <si>
    <t>355,79</t>
  </si>
  <si>
    <t>698,35</t>
  </si>
  <si>
    <t>1.054,14</t>
  </si>
  <si>
    <t>Descrição:   CAIXA DE GORDURA ESPECIAL EM ALVENARIA DE TIJOLOS MACICOS(7X10X20CM),EM PAREDES DE UMA VEZ(0,20M),MEDINDO 0,80X0,80X0,90M,INCLUSIVE REVESTIMENTO INTERNO EM ARGAMASSA DE CIMENTO E AREIA NO TRACO , CONSTRUÍDO CONFORME PROJETO</t>
  </si>
  <si>
    <t>Código:   401530</t>
  </si>
  <si>
    <t>Descrição:   CAIXA DE INSPECAO DE ESGOTO 80X80X120CM</t>
  </si>
  <si>
    <t>000040</t>
  </si>
  <si>
    <t>ESCAVACAO MANUAL EM VALA ATE 2M</t>
  </si>
  <si>
    <t>1,2</t>
  </si>
  <si>
    <t>000090</t>
  </si>
  <si>
    <t>APILOAMENTO MANUAL</t>
  </si>
  <si>
    <t>0,64</t>
  </si>
  <si>
    <t>000130</t>
  </si>
  <si>
    <t>CONCRETO CONSUMO 161KG CIMENTO/M3 1:4:8 BETONEIRA COM LANCAMENTO</t>
  </si>
  <si>
    <t>0,064</t>
  </si>
  <si>
    <t>000150</t>
  </si>
  <si>
    <t>REATERRO APILOADO DE VALA</t>
  </si>
  <si>
    <t>000270</t>
  </si>
  <si>
    <t>CONCRETO BETONEIRA 15MPa COM LANCAMENTO</t>
  </si>
  <si>
    <t>000510</t>
  </si>
  <si>
    <t>CHAPISCO 1:3 VERTICAL</t>
  </si>
  <si>
    <t>2,64</t>
  </si>
  <si>
    <t>000570</t>
  </si>
  <si>
    <t>EMBOCO 1:3 VERTICAL E=15MM COM IMPERMEABILIZANTE</t>
  </si>
  <si>
    <t>000700</t>
  </si>
  <si>
    <t>ALVENARIA DE TIJOLO DE BARRO E=10CM</t>
  </si>
  <si>
    <t>3,36</t>
  </si>
  <si>
    <t>001000</t>
  </si>
  <si>
    <t>FORMA DE TABUA FUNDACAO</t>
  </si>
  <si>
    <t>002381</t>
  </si>
  <si>
    <t>ACO CA 50 (MEDIA)</t>
  </si>
  <si>
    <t>1,28</t>
  </si>
  <si>
    <t>152030</t>
  </si>
  <si>
    <t>TUBO PVC 100MM JE - ESG</t>
  </si>
  <si>
    <t>152080</t>
  </si>
  <si>
    <t>COTOVELO 90o PVC 100MM JE - ESG</t>
  </si>
  <si>
    <t>UN</t>
  </si>
  <si>
    <t>ORSE</t>
  </si>
  <si>
    <t>H</t>
  </si>
  <si>
    <t>27,67</t>
  </si>
  <si>
    <t>AJUDANTE ESPECIALIZADO COM ENCARGOS COMPLEMENTARES</t>
  </si>
  <si>
    <t>24,93</t>
  </si>
  <si>
    <t>BUCHA DE NYLON S-06</t>
  </si>
  <si>
    <t>PARAFUSO AUTO-ATARRAXANTE EM AÇO INOX - 4,2 X 32MM</t>
  </si>
  <si>
    <t>0,33</t>
  </si>
  <si>
    <t>FORNECIMENTO E INSTALAÇÃO DE CABO DE COBRE Ø 35 MM² (MALHA DE CAPTAÇÃO)</t>
  </si>
  <si>
    <t>M</t>
  </si>
  <si>
    <t>CABO DE COBRE NU 35 MM2 MEIO-DURO</t>
  </si>
  <si>
    <t>CONECTOR SPLIT BOLT PARA CABO DE COBRE NU #35 MM2</t>
  </si>
  <si>
    <t>3,50</t>
  </si>
  <si>
    <t>FIXADOR TIPO ÔMEGA EM COBRE, L=15MM, C/FUROS D=5,5MM E TRAVA P/CABO DE 35MM², REF:TEL-833 OU SIMILAR (P/SPDA)</t>
  </si>
  <si>
    <t>1,23</t>
  </si>
  <si>
    <t xml:space="preserve">SINAPI  88264 </t>
  </si>
  <si>
    <t xml:space="preserve">SINAPI 88243 </t>
  </si>
  <si>
    <t>Código:   09-11-05</t>
  </si>
  <si>
    <t>Descrição:   PÁRA-RAIOS TIPO "FRANKLIN", EXCLUSIVE DESCIDA E ATERRAMENTO</t>
  </si>
  <si>
    <t>02041</t>
  </si>
  <si>
    <t>ELETRICISTA (SGSP)</t>
  </si>
  <si>
    <t>8,53</t>
  </si>
  <si>
    <t>02044</t>
  </si>
  <si>
    <t>AJUDANTE DE ELETRICISTA (SGSP)</t>
  </si>
  <si>
    <t>57210</t>
  </si>
  <si>
    <t>BASE E ESTAIS PARA MASTRO DE PÁRA-RAIOS</t>
  </si>
  <si>
    <t>112,47</t>
  </si>
  <si>
    <t>57220</t>
  </si>
  <si>
    <t>CAPTOR TIPO FRANKLIN PARA DUAS DESCIDAS</t>
  </si>
  <si>
    <t>47,48</t>
  </si>
  <si>
    <t>57630</t>
  </si>
  <si>
    <t>MASTRO DE AÇO GALVANIZADO - 2"X3,00M</t>
  </si>
  <si>
    <t>81,15</t>
  </si>
  <si>
    <t>74,90</t>
  </si>
  <si>
    <t>241,10</t>
  </si>
  <si>
    <t>316,00</t>
  </si>
  <si>
    <t>EXECUÇÃO DE PONTO DE  DESCIDA EM CABO DE COBRE NÚ Ø 35 MM² (SPDA)</t>
  </si>
  <si>
    <t>FORNECIMENTO DE MOLDE DE SOLDA EXOTÉRMICA TIPO "T" PARA CABO 35 MM²</t>
  </si>
  <si>
    <t>123,00</t>
  </si>
  <si>
    <t>ELETRODUTO DE PVC RIGIDO ROSCAVEL DE 1 ", SEM LUVA</t>
  </si>
  <si>
    <t>3,21</t>
  </si>
  <si>
    <t>CURVA 90 GRAUS, LONGA, DE PVC RIGIDO ROSCAVEL, DE 1", PARA ELETRODUTO</t>
  </si>
  <si>
    <t>2,62</t>
  </si>
  <si>
    <t>ABRACADEIRA EM ACO PARA AMARRACAO DE ELETRODUTOS, TIPO D, COM 1" E CUNHA DE FIXACAO</t>
  </si>
  <si>
    <t>1,02</t>
  </si>
  <si>
    <t>LUVA EM PVC RIGIDO ROSCAVEL, DE 1", PARA ELETRODUTO</t>
  </si>
  <si>
    <t>1,05</t>
  </si>
  <si>
    <t>CAIXA INSPECAO EM POLIETILENO PARA ATERRAMENTO E PARA RAIOS DIAMETRO = 300 MM</t>
  </si>
  <si>
    <t>10,46</t>
  </si>
  <si>
    <t>CONECTOR DE MEDIÇÃO EM BRONZE C/4 PARAFUSOS P/CABOS DE COBRE 16-70MM² REF.TEL-560 (PÁRA-RAIO)</t>
  </si>
  <si>
    <t>17,50</t>
  </si>
  <si>
    <t>CAIXA INSPEÇÃO EM POLIAMIDA 150X110X70MM, REF:TEL-541 OU SIMILAR (P/SPDA)</t>
  </si>
  <si>
    <t>78,33</t>
  </si>
  <si>
    <t>BUCHA DE NYLON SEM ABA S8, COM PARAFUSO DE 4,80 X 50 MM EM ACO ZINCADO COM ROSCA SOBERBA, CABECA CHATA E FENDA PHILLIPS</t>
  </si>
  <si>
    <t>0,41</t>
  </si>
  <si>
    <t>FORNECIMENTO E INSTALAÇÃO DE MALHA DE ATERRAMENTO EM CABO DE COBRE NÚ Ø 50 MM²</t>
  </si>
  <si>
    <t>M³</t>
  </si>
  <si>
    <t>REATERRO DE VALA COM COMPACTAÇÃO MANUAL</t>
  </si>
  <si>
    <t>70,26</t>
  </si>
  <si>
    <t>CABO DE COBRE NU 50 MM2 MEIO-DURO</t>
  </si>
  <si>
    <t>21,04</t>
  </si>
  <si>
    <t xml:space="preserve">SINAPI  73964/006 </t>
  </si>
  <si>
    <t xml:space="preserve">SINAPI  88243 </t>
  </si>
  <si>
    <t xml:space="preserve">SINAPI 0867 </t>
  </si>
  <si>
    <t>ESCAVACAO MANUAL CAMPO ABERTO EM SOLO EXCETO ROCHA ATE 2,00M PROFUNDIDADE</t>
  </si>
  <si>
    <t>SINAPI  93358</t>
  </si>
  <si>
    <t>SUBTOTAL</t>
  </si>
  <si>
    <t>ENC. SOCIAIS</t>
  </si>
  <si>
    <t>BDI</t>
  </si>
  <si>
    <t>TOTAL</t>
  </si>
  <si>
    <t>FIXAÇÃO E SOLDAGEM DE HASTE EM AÇO COBREADA Ø 5/8" X 2,40 M, INCLUSIVE FORNECIMENTO</t>
  </si>
  <si>
    <t>FORNECIMENTO DE MOLDE DE SOLDA EXOTÉRMICA TIPO "X" PARA CABO 50 MM²</t>
  </si>
  <si>
    <t>140,00</t>
  </si>
  <si>
    <t>FORNECIMENTO DE CARTUCHO PARA SOLDA EXOTÉRMICA PARA CABO 50 MM²</t>
  </si>
  <si>
    <t>11,00</t>
  </si>
  <si>
    <t>HASTE ALTA CAMADA TEL5814 254 MICRONS 5/8"X240CM OU EQUIVALENTE</t>
  </si>
  <si>
    <t>50,76</t>
  </si>
  <si>
    <t xml:space="preserve">ORSE  9902 </t>
  </si>
  <si>
    <t xml:space="preserve">ORSE  11131 </t>
  </si>
  <si>
    <t>SINAPI  88264</t>
  </si>
  <si>
    <t>SUDECAP  74.51.17</t>
  </si>
  <si>
    <t>ORSE 9901</t>
  </si>
  <si>
    <t xml:space="preserve">SINAPI 0863 </t>
  </si>
  <si>
    <t>SINAPI 02685</t>
  </si>
  <si>
    <t xml:space="preserve">SINAPI 01884 </t>
  </si>
  <si>
    <t xml:space="preserve">SINAPI 039129 </t>
  </si>
  <si>
    <t xml:space="preserve">SINAPI 01892 </t>
  </si>
  <si>
    <t xml:space="preserve">SINAPI 034643 </t>
  </si>
  <si>
    <t xml:space="preserve">ORSE  9329 </t>
  </si>
  <si>
    <t xml:space="preserve">ORSE 11513 </t>
  </si>
  <si>
    <t xml:space="preserve">SINAPI 07583 </t>
  </si>
  <si>
    <t xml:space="preserve">ORSE  3250 </t>
  </si>
  <si>
    <t xml:space="preserve">ORSE  9707 </t>
  </si>
  <si>
    <t>0,4</t>
  </si>
  <si>
    <t>0,2</t>
  </si>
  <si>
    <t>0,48</t>
  </si>
  <si>
    <t>Código:   3R 05 12 00 00 00 00 05 35</t>
  </si>
  <si>
    <t>Descrição:   Alvenaria de vedação com blocos cerâmicos canaleta, 9 x 19 x 39 cm, espessura da parede 9 cm, juntas de 10 mm com argamassa mista de cimento, cal e areia traço 1:2:8</t>
  </si>
  <si>
    <t>2C 03 02 02 11 05</t>
  </si>
  <si>
    <t>Areia média lavada</t>
  </si>
  <si>
    <t>2C 03 03 02 11 06</t>
  </si>
  <si>
    <t>Cimento CP-32</t>
  </si>
  <si>
    <t>2C 03 03 02 13 04</t>
  </si>
  <si>
    <t>Cal hidratada CH III</t>
  </si>
  <si>
    <t>2C 03 07 00 00 06</t>
  </si>
  <si>
    <t>Bloco cerâmico furado para alvenaria tipo canaleta 9 x 19 x 39 cm</t>
  </si>
  <si>
    <t>Código:   87905U</t>
  </si>
  <si>
    <t>Descrição:   CHAPISCO APLICADO EM ALVENARIA (COM PRESENÇA DE VÃOS) E ESTRUTURAS DE CONCRETO DE FACHADA, COM COLHER DE PEDREIRO.  ARGAMASSA TRAÇO 1:3 COM PREPARO EM BETONEIRA 400L. AF_06/2014</t>
  </si>
  <si>
    <t>87313U</t>
  </si>
  <si>
    <t>ARGAMASSA TRAÇO 1:3 (CIMENTO E AREIA GROSSA) PARA CHAPISCO CONVENCIONAL, PREPARO MECÂNICO COM BETONEIRA 400 L. AF_06/2014</t>
  </si>
  <si>
    <t>0,0042</t>
  </si>
  <si>
    <t>276,63</t>
  </si>
  <si>
    <t>1,16</t>
  </si>
  <si>
    <t>0,183</t>
  </si>
  <si>
    <t>2,36</t>
  </si>
  <si>
    <t>0,091</t>
  </si>
  <si>
    <t>2,19</t>
  </si>
  <si>
    <t>2,38</t>
  </si>
  <si>
    <t>4,57</t>
  </si>
  <si>
    <t>1,59</t>
  </si>
  <si>
    <t>1,51</t>
  </si>
  <si>
    <t>7,67</t>
  </si>
  <si>
    <t>Região de preços:   SEINFRA - Fortaleza</t>
  </si>
  <si>
    <t>I2391</t>
  </si>
  <si>
    <t>6,49</t>
  </si>
  <si>
    <t>I2543</t>
  </si>
  <si>
    <t>4,42</t>
  </si>
  <si>
    <t>3,01</t>
  </si>
  <si>
    <t>Código:   C2126</t>
  </si>
  <si>
    <t>Descrição:   REBOCO C/ARGAMASSA PRÉ-FABRICADA ESP=5 mm P/ PAREDE</t>
  </si>
  <si>
    <t>I0117</t>
  </si>
  <si>
    <t>ARGAMASSA PRE-FABRICADA PARA REBOCO</t>
  </si>
  <si>
    <t>7</t>
  </si>
  <si>
    <t>I0682</t>
  </si>
  <si>
    <t>BETONEIRA ELÉTRICA 580L (CHP)</t>
  </si>
  <si>
    <t>EQL</t>
  </si>
  <si>
    <t>0,0036</t>
  </si>
  <si>
    <t>14,40</t>
  </si>
  <si>
    <t>0,53</t>
  </si>
  <si>
    <t>2,34</t>
  </si>
  <si>
    <t>5,59</t>
  </si>
  <si>
    <t>3,06</t>
  </si>
  <si>
    <t>8,65</t>
  </si>
  <si>
    <t>4,05</t>
  </si>
  <si>
    <t>15,81</t>
  </si>
  <si>
    <t>Código:   12-01-43</t>
  </si>
  <si>
    <t>Descrição:   FORRO DE GESSO ACARTONADO TIPO FGE (FORNECIMENTO E INSTALAÇÃO)</t>
  </si>
  <si>
    <t>33532</t>
  </si>
  <si>
    <t>FORRO GYPSUM ESTRUTURADO TIPO FGE - ESP. 12,5MM FORNECIMENTO E INSTALAÇÃO</t>
  </si>
  <si>
    <t>62,47</t>
  </si>
  <si>
    <t>15,35</t>
  </si>
  <si>
    <t>77,82</t>
  </si>
  <si>
    <t>Código:   3R 09 52 14 00 00 00 10 71</t>
  </si>
  <si>
    <t>Descrição:   Janela de alumínio sob encomenda, colocação e acabamento, basculante, com contramarcos</t>
  </si>
  <si>
    <t>9,69</t>
  </si>
  <si>
    <t>131,43</t>
  </si>
  <si>
    <t>1,94</t>
  </si>
  <si>
    <t>0,93</t>
  </si>
  <si>
    <t>2C 05 03 03 11 03</t>
  </si>
  <si>
    <t>Janela basculante de alumínio com acabamento natural, sem vidros</t>
  </si>
  <si>
    <t>1024,58</t>
  </si>
  <si>
    <t>14,49</t>
  </si>
  <si>
    <t>1.026,15</t>
  </si>
  <si>
    <t>1.040,64</t>
  </si>
  <si>
    <t>10,49</t>
  </si>
  <si>
    <t>258,26</t>
  </si>
  <si>
    <t>1.309,39</t>
  </si>
  <si>
    <t>Código:   3R 09 52 14 00 00 00 10 74</t>
  </si>
  <si>
    <t>Descrição:   Janela de alumínio sob encomenda, colocação e acabamento, de correr, com contramarcos</t>
  </si>
  <si>
    <t>2C 05 03 03 13 03</t>
  </si>
  <si>
    <t>Janela de correr de alumínio com acabamento natural, 2 folhas, sem vidros</t>
  </si>
  <si>
    <t>789,99</t>
  </si>
  <si>
    <t>791,56</t>
  </si>
  <si>
    <t>806,05</t>
  </si>
  <si>
    <t>200,62</t>
  </si>
  <si>
    <t>1.017,16</t>
  </si>
  <si>
    <t>Descrição:   PORTA DE ALUMÍNIO DE ABRIR COM LAMBRI, COMM GUARNIÇÃO, FIXAÇÃO COM PARAFUSOS - FORNECIMENTO E INSTALAÇÃO. AF_08/2015</t>
  </si>
  <si>
    <t>142</t>
  </si>
  <si>
    <t>SELANTE ELASTICO MONOCOMPONENTE A BASE DE POLIURETANO PARA JUNTAS DIVERSAS</t>
  </si>
  <si>
    <t>310ml</t>
  </si>
  <si>
    <t>0,8829</t>
  </si>
  <si>
    <t>30,64</t>
  </si>
  <si>
    <t>27,05</t>
  </si>
  <si>
    <t>40555</t>
  </si>
  <si>
    <t>GUARNICAO/MOLDURA DE ACABAMENTO PARA ESQUADRIA DE ALUMINIO ANODIZADO NATURAL, PARA 1 FACE (COLETADO CAIXA)</t>
  </si>
  <si>
    <t>6,8504</t>
  </si>
  <si>
    <t>24,23</t>
  </si>
  <si>
    <t>165,99</t>
  </si>
  <si>
    <t>4914</t>
  </si>
  <si>
    <t>PORTA DE ABRIR EM ALUMINIO COM LAMBRI HORIZONTAL/LAMINADA, ACABAMENTO ANODIZADO NATURAL, SEM GUARNICAO/ALIZAR/VISTA</t>
  </si>
  <si>
    <t>791,94</t>
  </si>
  <si>
    <t>4,8166</t>
  </si>
  <si>
    <t>2,07</t>
  </si>
  <si>
    <t>0,3563</t>
  </si>
  <si>
    <t>14,08</t>
  </si>
  <si>
    <t>5,02</t>
  </si>
  <si>
    <t>0,1779</t>
  </si>
  <si>
    <t>12,66</t>
  </si>
  <si>
    <t>2,25</t>
  </si>
  <si>
    <t>4,00</t>
  </si>
  <si>
    <t>990,32</t>
  </si>
  <si>
    <t>994,32</t>
  </si>
  <si>
    <t>2,90</t>
  </si>
  <si>
    <t>245,02</t>
  </si>
  <si>
    <t>1.242,23</t>
  </si>
  <si>
    <t>Código:   91338U</t>
  </si>
  <si>
    <t>Código:   90848U</t>
  </si>
  <si>
    <t>Descrição:   KIT DE PORTA DE MADEIRA PARA PINTURA, SEMI-OCA (LEVE OU MÉDIA), PADRÃO MÉDIO, 70X210CM, ESPESSURA DE 3,5CM, ITENS INCLUSOS: DOBRADIÇAS, MONTAGEM E INSTALAÇÃO DO BATENTE, SEM FECHADURA - FORNECIMENTO E INSTALAÇÃO. AF_08/2015</t>
  </si>
  <si>
    <t>90801U</t>
  </si>
  <si>
    <t>ADUELA / MARCO / BATENTE PARA PORTA DE 70X210CM, PADRÃO MÉDIO - FORNECIMENTO E MONTAGEM. AF_08/2015</t>
  </si>
  <si>
    <t>153,47</t>
  </si>
  <si>
    <t>90807U</t>
  </si>
  <si>
    <t>ADUELA / MARCO / BATENTE PARA PORTA DE 70X210CM, FIXAÇÃO COM ARGAMASSA - SOMENTE INSTALAÇÃO. AF_08/2015_P</t>
  </si>
  <si>
    <t>49,08</t>
  </si>
  <si>
    <t>90821U</t>
  </si>
  <si>
    <t>PORTA DE MADEIRA PARA PINTURA, SEMI-OCA (LEVE OU MÉDIA), 70X210CM, ESPESSURA DE 3,5CM, INCLUSO DOBRADIÇAS - FORNECIMENTO E INSTALAÇÃO. AF_08/2015</t>
  </si>
  <si>
    <t>314,32</t>
  </si>
  <si>
    <t>90827U</t>
  </si>
  <si>
    <t>ALIZAR / GUARNIÇÃO DE 5X1,5CM PARA PORTA DE 70X210CM FIXADO COM PREGOS, PADRÃO MÉDIO - FORNECIMENTO E INSTALAÇÃO. AF_08/2015</t>
  </si>
  <si>
    <t>23,90</t>
  </si>
  <si>
    <t>47,80</t>
  </si>
  <si>
    <t>75,71</t>
  </si>
  <si>
    <t>488,96</t>
  </si>
  <si>
    <t>564,67</t>
  </si>
  <si>
    <t>54,79</t>
  </si>
  <si>
    <t>152,20</t>
  </si>
  <si>
    <t>771,66</t>
  </si>
  <si>
    <t>13,91</t>
  </si>
  <si>
    <t>8,50</t>
  </si>
  <si>
    <t>Código:   87263U</t>
  </si>
  <si>
    <t>Descrição:   REVESTIMENTO CERÂMICO PARA PISO COM PLACAS TIPO PORCELANATO DE DIMENSÕES 60X60 CM APLICADA EM AMBIENTES DE ÁREA MAIOR QUE 10 M². AF_06/2014</t>
  </si>
  <si>
    <t>34357</t>
  </si>
  <si>
    <t>REJUNTE COLORIDO, CIMENTICIO</t>
  </si>
  <si>
    <t>3,04</t>
  </si>
  <si>
    <t>37595</t>
  </si>
  <si>
    <t>ARGAMASSA COLANTE TIPO ACIII</t>
  </si>
  <si>
    <t>8,62</t>
  </si>
  <si>
    <t>1,44</t>
  </si>
  <si>
    <t>12,41</t>
  </si>
  <si>
    <t>38195</t>
  </si>
  <si>
    <t>PISO PORCELANATO, BORDA RETA, EXTRA, FORMATO MAIOR QUE 2025 CM2</t>
  </si>
  <si>
    <t>1,07</t>
  </si>
  <si>
    <t>70,27</t>
  </si>
  <si>
    <t>75,19</t>
  </si>
  <si>
    <t>88256U</t>
  </si>
  <si>
    <t>AZULEJISTA OU LADRILHISTA COM ENCARGOS COMPLEMENTARES</t>
  </si>
  <si>
    <t>0,44</t>
  </si>
  <si>
    <t>13,31</t>
  </si>
  <si>
    <t>5,86</t>
  </si>
  <si>
    <t>2,53</t>
  </si>
  <si>
    <t>4,47</t>
  </si>
  <si>
    <t>91,95</t>
  </si>
  <si>
    <t>96,42</t>
  </si>
  <si>
    <t>3,24</t>
  </si>
  <si>
    <t>24,49</t>
  </si>
  <si>
    <t>124,14</t>
  </si>
  <si>
    <t>21108</t>
  </si>
  <si>
    <t>PISO EM PORCELANATO RETIFICADO EXTRA, FORMATO MENOR OU IGUAL A 2025 CM2</t>
  </si>
  <si>
    <t>59,50</t>
  </si>
  <si>
    <t>0,73</t>
  </si>
  <si>
    <t>Código:   87260U</t>
  </si>
  <si>
    <t>Descrição:   REVESTIMENTO CERÂMICO PARA PISO COM PLACAS TIPO PORCELANATO DE DIMENSÕES 45X45 CM APLICADA EM AMBIENTES DE ÁREA MAIOR QUE 10 M². AF_06/2014</t>
  </si>
  <si>
    <t>1,06</t>
  </si>
  <si>
    <t>63,07</t>
  </si>
  <si>
    <t>0,19</t>
  </si>
  <si>
    <t>2,41</t>
  </si>
  <si>
    <t>83,81</t>
  </si>
  <si>
    <t>2,93</t>
  </si>
  <si>
    <t>21,31</t>
  </si>
  <si>
    <t>108,05</t>
  </si>
  <si>
    <t>Código:   87559U</t>
  </si>
  <si>
    <t>Descrição:   EMBOÇO, PARA RECEBIMENTO DE CERÂMICA, EM ARGAMASSA INDUSTRIALIZADA, PREPARO MECÂNICO, APLICADO COM EQUIPAMENTO DE MISTURA E PROJEÇÃO DE 1,5 M3/H DE ARGAMASSA EM FACES INTERNAS DE PAREDES, PARA AMBIENTE COM ÁREA MAIOR QUE 10M2, ESPESSURA DE 10MM, COM EXECUÇÃO DE TALISCAS. AF_06/2014</t>
  </si>
  <si>
    <t>87407U</t>
  </si>
  <si>
    <t>ARGAMASSA INDUSTRIALIZADA PARA REVESTIMENTOS, MISTURA E PROJEÇÃO DE 1,5 M³/H DE ARGAMASSA. AF_06/2014</t>
  </si>
  <si>
    <t>0,0213</t>
  </si>
  <si>
    <t>874,42</t>
  </si>
  <si>
    <t>18,63</t>
  </si>
  <si>
    <t>0,16</t>
  </si>
  <si>
    <t>2,12</t>
  </si>
  <si>
    <t>19,01</t>
  </si>
  <si>
    <t>21,13</t>
  </si>
  <si>
    <t>5,57</t>
  </si>
  <si>
    <t>28,23</t>
  </si>
  <si>
    <t>Código:   C4443</t>
  </si>
  <si>
    <t>Descrição:   CERÂMICA ESMALTADA C/ ARG. PRÉ-FABRICADA ATÉ 30x30cm (900cm²) - PEI-5/PEI-4 - P/ PAREDE</t>
  </si>
  <si>
    <t>I1328</t>
  </si>
  <si>
    <t>LADRILHISTA</t>
  </si>
  <si>
    <t>0,72</t>
  </si>
  <si>
    <t>4,67</t>
  </si>
  <si>
    <t>I6498</t>
  </si>
  <si>
    <t>CERÂMICA ESMALTADA DIMENSÕES ATÉ 30x30cm (900 cm²) - PEI-5/PEI-4</t>
  </si>
  <si>
    <t>1,1</t>
  </si>
  <si>
    <t>22,00</t>
  </si>
  <si>
    <t>24,20</t>
  </si>
  <si>
    <t>I6508</t>
  </si>
  <si>
    <t>ARGAMASSA COLANTE PRÉ-FABRICADA P/ CERÂMICAS E PORCELANATOS</t>
  </si>
  <si>
    <t>1,78</t>
  </si>
  <si>
    <t>10,68</t>
  </si>
  <si>
    <t>7,85</t>
  </si>
  <si>
    <t>34,88</t>
  </si>
  <si>
    <t>42,73</t>
  </si>
  <si>
    <t>5,68</t>
  </si>
  <si>
    <t>11,89</t>
  </si>
  <si>
    <t>60,31</t>
  </si>
  <si>
    <t>Descrição:   BANCADA EM GRANITO P/ LAVATÓRIO, INCL. LOUÇA BRANCA E ACESSÓRIOS</t>
  </si>
  <si>
    <t>Quantidade: 1cj        LS(%): 72,37        BDI(%): 24,57</t>
  </si>
  <si>
    <t>C0170</t>
  </si>
  <si>
    <t>ARGAMASSA DE CIMENTO E AREIA S/PEN. TRAÇO 1:3</t>
  </si>
  <si>
    <t>0,0023</t>
  </si>
  <si>
    <t>343,14</t>
  </si>
  <si>
    <t>I0184</t>
  </si>
  <si>
    <t>1,32</t>
  </si>
  <si>
    <t>I0916</t>
  </si>
  <si>
    <t>CUBA DE LOUÇA BRANCA DE EMBUTIR</t>
  </si>
  <si>
    <t>56,93</t>
  </si>
  <si>
    <t>I1513</t>
  </si>
  <si>
    <t>MASSA CORRIDA A BASE DE PVA</t>
  </si>
  <si>
    <t>5,26</t>
  </si>
  <si>
    <t>I1861</t>
  </si>
  <si>
    <t>SIFÃO CROMADO 1 1/4"X1 1/2"</t>
  </si>
  <si>
    <t>53,00</t>
  </si>
  <si>
    <t>I2271</t>
  </si>
  <si>
    <t>VÁLVULA DE METAL 1 1/4"</t>
  </si>
  <si>
    <t>I2320</t>
  </si>
  <si>
    <t>ENCANADOR</t>
  </si>
  <si>
    <t>2,9</t>
  </si>
  <si>
    <t>Código:   C3996 PR</t>
  </si>
  <si>
    <t>Região de preços:   PRÓPRIO</t>
  </si>
  <si>
    <t>BANCADA DE GRANITO BRANCO ITAÚNAS</t>
  </si>
  <si>
    <t>Cotação</t>
  </si>
  <si>
    <t>I0043</t>
  </si>
  <si>
    <t>AJUDANTE DE ENCANADOR</t>
  </si>
  <si>
    <t>0,65</t>
  </si>
  <si>
    <t>4,77</t>
  </si>
  <si>
    <t>I1180</t>
  </si>
  <si>
    <t>FITA DE VEDAÇÃO</t>
  </si>
  <si>
    <t>0,28</t>
  </si>
  <si>
    <t>0,38</t>
  </si>
  <si>
    <t>Descrição:   TORNEIRA DE PRESSÃO CROMADA PARA LAVATÓRIO MODELO 1173 C</t>
  </si>
  <si>
    <t>Código:   C2504 PR</t>
  </si>
  <si>
    <t>TORNEIRA DE PRESSÃO CROMADA PARA LAVATÓRIO MODELO 1173 C</t>
  </si>
  <si>
    <t>Descrição:   BANCADA EM GRANITO P/ PIA DE COZINHA, INCL. CUBA DE AÇO INOX E ACESSÓRIOS</t>
  </si>
  <si>
    <t>I0915</t>
  </si>
  <si>
    <t>CUBA DE AÇO INOX</t>
  </si>
  <si>
    <t>141,00</t>
  </si>
  <si>
    <t>BANCADA DE GRANITO PRETO CONFORME PROJETO</t>
  </si>
  <si>
    <t>Código:   C3997 PR</t>
  </si>
  <si>
    <t>Região de preços:  PRÓPRIO</t>
  </si>
  <si>
    <t>Descrição:   TORNEIRA CROMADA TUBO MÓVEL, DE MESA, 1/2" OU 3/4", PARA PIA DE COZINHA, PADRÃO ALTO - FORNECIMENTO E INSTALAÇÃO. AF_12/2013</t>
  </si>
  <si>
    <t>11772</t>
  </si>
  <si>
    <t>TORNEIRA CROMADA DE MESA PARA COZINHA BICA MOVEL COM AREJADOR 1/2 " OU 3/4 " (REF 1167)</t>
  </si>
  <si>
    <t>69,26</t>
  </si>
  <si>
    <t>0,17</t>
  </si>
  <si>
    <t>15,29</t>
  </si>
  <si>
    <t>2,60</t>
  </si>
  <si>
    <t>0,63</t>
  </si>
  <si>
    <t>1,89</t>
  </si>
  <si>
    <t>70,66</t>
  </si>
  <si>
    <t>72,55</t>
  </si>
  <si>
    <t>1,37</t>
  </si>
  <si>
    <t>18,16</t>
  </si>
  <si>
    <t>92,08</t>
  </si>
  <si>
    <t>Código:   86909U</t>
  </si>
  <si>
    <t>Código:   C0357</t>
  </si>
  <si>
    <t>Descrição:   BANCADA DE GRANITO (OUTRAS CORES) E= 3cm (COLOCADO)</t>
  </si>
  <si>
    <t>I0108</t>
  </si>
  <si>
    <t>AREIA GROSSA</t>
  </si>
  <si>
    <t>0,008</t>
  </si>
  <si>
    <t>46,00</t>
  </si>
  <si>
    <t>I0805</t>
  </si>
  <si>
    <t>CIMENTO PORTLAND</t>
  </si>
  <si>
    <t>3,2</t>
  </si>
  <si>
    <t>0,50</t>
  </si>
  <si>
    <t>BANCADA DE GRANITO OUTRAS CORES, E=3cm</t>
  </si>
  <si>
    <t>cotação</t>
  </si>
  <si>
    <t>Código:   13.030.0290-A</t>
  </si>
  <si>
    <t>Descrição:   REVESTIMENTO DE PAREDES COM CERAMICA 25X40CM E 8,5MM DE ESPEREVESTIMENTO DE PAREDES COM CERAMICA 25X40CM E 8,5MM DE ESPESSURA,ASSENTE CONFORME ITEM 13.025.0016</t>
  </si>
  <si>
    <t>00150</t>
  </si>
  <si>
    <t>CIMENTO BRANCO</t>
  </si>
  <si>
    <t>1,85</t>
  </si>
  <si>
    <t>05350</t>
  </si>
  <si>
    <t>OXIDO DE FERRO</t>
  </si>
  <si>
    <t>27,27</t>
  </si>
  <si>
    <t>2,73</t>
  </si>
  <si>
    <t>07.001.0010-B</t>
  </si>
  <si>
    <t>PASTA DE CIMENTO COMUM</t>
  </si>
  <si>
    <t>0,003</t>
  </si>
  <si>
    <t>592,91</t>
  </si>
  <si>
    <t>11204</t>
  </si>
  <si>
    <t>LADRILHO CERAMICO 25X40CM, E 8,5MM DE ESPESSURA</t>
  </si>
  <si>
    <t>11,85</t>
  </si>
  <si>
    <t>13,04</t>
  </si>
  <si>
    <t>13.001.0010-B</t>
  </si>
  <si>
    <t>CHAPISCO SUPERF. CONCR./ALVEN.,COM ARGAMASSA DE CIMENTO E AREIA NO TRACO 1:3</t>
  </si>
  <si>
    <t>13.002.0011-B</t>
  </si>
  <si>
    <t>REVESTIMENTO EXT. ARG. 1:3:3 ESP. 2,5CM</t>
  </si>
  <si>
    <t>23,09</t>
  </si>
  <si>
    <t>20087</t>
  </si>
  <si>
    <t>MAO-DE-OBRA DE LADRILHEIRO, INCLUSIVE ENCARGOS SOCIAIS DESONERADOS</t>
  </si>
  <si>
    <t>1,03</t>
  </si>
  <si>
    <t>17,59</t>
  </si>
  <si>
    <t>18,12</t>
  </si>
  <si>
    <t>12,18</t>
  </si>
  <si>
    <t>50,14</t>
  </si>
  <si>
    <t>25,29</t>
  </si>
  <si>
    <t>75,43</t>
  </si>
  <si>
    <t>36,29</t>
  </si>
  <si>
    <t>27,45</t>
  </si>
  <si>
    <t>139,16</t>
  </si>
  <si>
    <t>Descrição:   PORTA TOALHA BANHO EM METAL CROMADO, TIPO BARRA, INCLUSO FIXAÇÃO. AF_10/2016</t>
  </si>
  <si>
    <t>PORTA TOALHA BANHO EM METAL CROMADO, TIPO BARRA</t>
  </si>
  <si>
    <t>95541U</t>
  </si>
  <si>
    <t>FIXAÇÃO UTILIZANDO PARAFUSO E BUCHA DE NYLON, SOMENTE MÃO DE OBRA. AF_10/2016</t>
  </si>
  <si>
    <t>2,77</t>
  </si>
  <si>
    <t>Código:   95543 PR</t>
  </si>
  <si>
    <t>COTAÇÃO</t>
  </si>
  <si>
    <t xml:space="preserve">Descrição:   PORTA TOALHA PAPEL HIGIÊNICO EM METAL CROMADO, INCLUSO FIXAÇÃO. </t>
  </si>
  <si>
    <t>Código:   86905U</t>
  </si>
  <si>
    <t>Descrição:   APARELHO MISTURADOR DE MESA PARA LAVATÓRIO, PADRÃO MÉDIO - FORNECIMENTO E INSTALAÇÃO. AF_12/2013</t>
  </si>
  <si>
    <t>11769</t>
  </si>
  <si>
    <t>MISTURADOR CROMADO DE MESA BICA BAIXA PARA LAVATORIO (REF 1875)</t>
  </si>
  <si>
    <t>146,31</t>
  </si>
  <si>
    <t>0,0608</t>
  </si>
  <si>
    <t>0,12</t>
  </si>
  <si>
    <t>0,46</t>
  </si>
  <si>
    <t>7,03</t>
  </si>
  <si>
    <t>0,15</t>
  </si>
  <si>
    <t>5,20</t>
  </si>
  <si>
    <t>150,16</t>
  </si>
  <si>
    <t>155,36</t>
  </si>
  <si>
    <t>3,76</t>
  </si>
  <si>
    <t>39,10</t>
  </si>
  <si>
    <t>198,22</t>
  </si>
  <si>
    <t>Descrição:   CHUVEIRO CROMADO C/ ARTICULAÇÃO</t>
  </si>
  <si>
    <t>I6167</t>
  </si>
  <si>
    <t>CHUVEIRO COM ARTICULAÇÃO CROMADO 1/2"</t>
  </si>
  <si>
    <t>Código:   C3513 PR</t>
  </si>
  <si>
    <t>SINAPI  85005</t>
  </si>
  <si>
    <t>Código:   92568U</t>
  </si>
  <si>
    <t>Descrição:   TRAMA DE AÇO COMPOSTA POR RIPAS, CAIBROS E TERÇAS PARA TELHADOS DE ATÉ 2 ÁGUAS PARA TELHA DE ENCAIXE DE CERÂMICA OU DE CONCRETO, INCLUSO TRANSPORTE VERTICAL. AF_12/2015</t>
  </si>
  <si>
    <t>1330</t>
  </si>
  <si>
    <t>CHAPA DE ACO GROSSA, ASTM A36, E = 1/4 " (6,35 MM) 49,79 KG/M2</t>
  </si>
  <si>
    <t>4,78</t>
  </si>
  <si>
    <t>2,15</t>
  </si>
  <si>
    <t>40424</t>
  </si>
  <si>
    <t>CHAPA DE ACO CARBONO LAMINADO A QUENTE, QUALIDADE ESTRUTURAL, BITOLA 3/16", E =4,75 MM (37,29 KG/M2)</t>
  </si>
  <si>
    <t>4,12</t>
  </si>
  <si>
    <t>0,82</t>
  </si>
  <si>
    <t>40535</t>
  </si>
  <si>
    <t>PERFIL "U" SIMPLES DE ACO GALVANIZADO DOBRADO 75 X *40* MM, E = 2,65 MM</t>
  </si>
  <si>
    <t>2,182</t>
  </si>
  <si>
    <t>4,10</t>
  </si>
  <si>
    <t>8,95</t>
  </si>
  <si>
    <t>40537</t>
  </si>
  <si>
    <t>PERFIL "U" ENRIJECIDO DE  ACO GALVANIZADO, DOBRADO, 200 X 75 X 25 MM, E = 3,75 MM</t>
  </si>
  <si>
    <t>4,631</t>
  </si>
  <si>
    <t>18,99</t>
  </si>
  <si>
    <t>40547</t>
  </si>
  <si>
    <t>PARAFUSO ZINCADO, AUTOBROCANTE, FLANGEADO, 4,2 X 19"</t>
  </si>
  <si>
    <t>cento</t>
  </si>
  <si>
    <t>16,41</t>
  </si>
  <si>
    <t>40549</t>
  </si>
  <si>
    <t>PARAFUSO, COMUM, ASTM A307, SEXTAVADO, DIAMETRO 1/2" (12,7 MM), COMPRIMENTO 1" (25,4 MM)</t>
  </si>
  <si>
    <t>0,007</t>
  </si>
  <si>
    <t>111,38</t>
  </si>
  <si>
    <t>0,78</t>
  </si>
  <si>
    <t>40664</t>
  </si>
  <si>
    <t>PERFIL CARTOLA DE ACO GALVANIZADO, *20 X 30 X 10* MM, E =  0,8 MM</t>
  </si>
  <si>
    <t>2,109</t>
  </si>
  <si>
    <t>3,51</t>
  </si>
  <si>
    <t>7,40</t>
  </si>
  <si>
    <t>40839</t>
  </si>
  <si>
    <t>PARAFUSO, ASTM A307 - GRAU A, SEXTAVADO, ZINCADO, DIAMETRO 3/8" (9,52 MM), COMPRIMENTO 1 " (25,4 MM)</t>
  </si>
  <si>
    <t>0,005</t>
  </si>
  <si>
    <t>68,00</t>
  </si>
  <si>
    <t>88278U</t>
  </si>
  <si>
    <t>MONTADOR DE ESTRUTURA METÁLICA COM ENCARGOS COMPLEMENTARES</t>
  </si>
  <si>
    <t>0,339</t>
  </si>
  <si>
    <t>13,10</t>
  </si>
  <si>
    <t>4,44</t>
  </si>
  <si>
    <t>0,191</t>
  </si>
  <si>
    <t>2,42</t>
  </si>
  <si>
    <t>93281U</t>
  </si>
  <si>
    <t>GUINCHO ELÉTRICO DE COLUNA, CAPACIDADE 400 KG, COM MOTO FREIO, MOTOR TRIFÁSICO DE 1,25 CV - CHP DIURNO. AF_03/2016</t>
  </si>
  <si>
    <t>chp</t>
  </si>
  <si>
    <t>0,0139</t>
  </si>
  <si>
    <t>13,06</t>
  </si>
  <si>
    <t>93282U</t>
  </si>
  <si>
    <t>GUINCHO ELÉTRICO DE COLUNA, CAPACIDADE 400 KG, COM MOTO FREIO, MOTOR TRIFÁSICO DE 1,25 CV - CHI DIURNO. AF_03/2016</t>
  </si>
  <si>
    <t>chi</t>
  </si>
  <si>
    <t>0,0193</t>
  </si>
  <si>
    <t>12,49</t>
  </si>
  <si>
    <t>3,84</t>
  </si>
  <si>
    <t>43,85</t>
  </si>
  <si>
    <t>47,69</t>
  </si>
  <si>
    <t>62,87</t>
  </si>
  <si>
    <t>Código:   94227U</t>
  </si>
  <si>
    <t>Descrição:   CALHA EM CHAPA DE AÇO GALVANIZADO NÚMERO 24, DESENVOLVIMENTO DE 33 CM, INCLUSO TRANSPORTE VERTICAL. AF_06/2016</t>
  </si>
  <si>
    <t>Quantidade: 1m        LS(%): 72,37        BDI(%): 24,57</t>
  </si>
  <si>
    <t>13388</t>
  </si>
  <si>
    <t>SOLDA EM BARRA DE ESTANHO-CHUMBO 50/50</t>
  </si>
  <si>
    <t>0,059</t>
  </si>
  <si>
    <t>98,49</t>
  </si>
  <si>
    <t>5,81</t>
  </si>
  <si>
    <t>0,053</t>
  </si>
  <si>
    <t>1,62</t>
  </si>
  <si>
    <t>40869</t>
  </si>
  <si>
    <t>CALHA QUADRADA DE CHAPA DE ACO GALVANIZADA NUM 24, CORTE 33 CM (COLETADO CAIXA)</t>
  </si>
  <si>
    <t>17,11</t>
  </si>
  <si>
    <t>17,97</t>
  </si>
  <si>
    <t>5061</t>
  </si>
  <si>
    <t>PREGO DE ACO POLIDO COM CABECA 18 X 27 (2 1/2 X 10)</t>
  </si>
  <si>
    <t>7,57</t>
  </si>
  <si>
    <t>5104</t>
  </si>
  <si>
    <t>REBITE DE ALUMINIO VAZADO DE REPUXO, 3,2 X 8 MM (1KG = 1025 UNIDADES)</t>
  </si>
  <si>
    <t>0,0016</t>
  </si>
  <si>
    <t>33,01</t>
  </si>
  <si>
    <t>0,282</t>
  </si>
  <si>
    <t>3,57</t>
  </si>
  <si>
    <t>88323U</t>
  </si>
  <si>
    <t>TELHADISTA COM ENCARGOS COMPLEMENTARES</t>
  </si>
  <si>
    <t>0,188</t>
  </si>
  <si>
    <t>12,95</t>
  </si>
  <si>
    <t>0,0132</t>
  </si>
  <si>
    <t>0,0183</t>
  </si>
  <si>
    <t>0,23</t>
  </si>
  <si>
    <t>3,34</t>
  </si>
  <si>
    <t>28,57</t>
  </si>
  <si>
    <t>31,91</t>
  </si>
  <si>
    <t>8,43</t>
  </si>
  <si>
    <t>42,76</t>
  </si>
  <si>
    <t>Código:   94222U</t>
  </si>
  <si>
    <t>Descrição:   CUMEEIRA PARA TELHA DE CONCRETO EMBOÇADA COM ARGAMASSA TRAÇO 1:2:9 (CIMENTO, CAL E AREIA) PARA TELHADOS COM ATÉ 2 ÁGUAS, INCLUSO TRANSPORTE VERTICAL. AF_06/2016</t>
  </si>
  <si>
    <t>40866</t>
  </si>
  <si>
    <t>CUMEEIRA PARA TELHA DE CONCRETO, PARA 2 AGUAS DE TELHADO, COR CINZA, RENDIMENTO DE *3* TELHAS/M (COLETADO CAIXA)</t>
  </si>
  <si>
    <t>8,76</t>
  </si>
  <si>
    <t>26,28</t>
  </si>
  <si>
    <t>87337U</t>
  </si>
  <si>
    <t>ARGAMASSA TRAÇO 1:2:9 (CIMENTO, CAL E AREIA MÉDIA) PARA EMBOÇO/MASSA ÚNICA/ASSENTAMENTO DE ALVENARIA DE VEDAÇÃO, PREPARO MECÂNICO COM MISTURADOR DE EIXO HORIZONTAL DE 300 KG. AF_06/2014</t>
  </si>
  <si>
    <t>0,0117</t>
  </si>
  <si>
    <t>287,22</t>
  </si>
  <si>
    <t>0,209</t>
  </si>
  <si>
    <t>2,65</t>
  </si>
  <si>
    <t>0,164</t>
  </si>
  <si>
    <t>0,0063</t>
  </si>
  <si>
    <t>0,0087</t>
  </si>
  <si>
    <t>3,03</t>
  </si>
  <si>
    <t>31,57</t>
  </si>
  <si>
    <t>34,60</t>
  </si>
  <si>
    <t>9,04</t>
  </si>
  <si>
    <t>45,83</t>
  </si>
  <si>
    <t>Código:   84093U</t>
  </si>
  <si>
    <t>Descrição:   TABEIRA DE MADEIRA LEI, 1A QUALIDADE, 2,5X30,0CM PARA BEIRAL DE TELHADO</t>
  </si>
  <si>
    <t>3992</t>
  </si>
  <si>
    <t>TABUA DE MADEIRA APARELHADA *2,5 X 30* CM, MACARANDUBA, ANGELIM OU EQUIVALENTE DA REGIAO</t>
  </si>
  <si>
    <t>16,27</t>
  </si>
  <si>
    <t>5066</t>
  </si>
  <si>
    <t>PREGO DE ACO POLIDO COM CABECA 12 X 12</t>
  </si>
  <si>
    <t>0,51</t>
  </si>
  <si>
    <t>88239U</t>
  </si>
  <si>
    <t>AJUDANTE DE CARPINTEIRO COM ENCARGOS COMPLEMENTARES</t>
  </si>
  <si>
    <t>12,06</t>
  </si>
  <si>
    <t>4,83</t>
  </si>
  <si>
    <t>14,02</t>
  </si>
  <si>
    <t>2,10</t>
  </si>
  <si>
    <t>20,15</t>
  </si>
  <si>
    <t>23,71</t>
  </si>
  <si>
    <t>32,75</t>
  </si>
  <si>
    <t>Código:   94231U</t>
  </si>
  <si>
    <t>Descrição:   RUFO EM CHAPA DE AÇO GALVANIZADO NÚMERO 24, CORTE DE 25 CM, INCLUSO TRANSPORTE VERTICAL. AF_06/2016</t>
  </si>
  <si>
    <t>0,045</t>
  </si>
  <si>
    <t>4,43</t>
  </si>
  <si>
    <t>0,04</t>
  </si>
  <si>
    <t>40872</t>
  </si>
  <si>
    <t>RUFO INTERNO/EXTERNO DE CHAPA DE ACO GALVANIZADA NUM 24, CORTE 25 CM (COLETADO CAIXA)</t>
  </si>
  <si>
    <t>15,36</t>
  </si>
  <si>
    <t>16,13</t>
  </si>
  <si>
    <t>0,006</t>
  </si>
  <si>
    <t>0,0012</t>
  </si>
  <si>
    <t>0,207</t>
  </si>
  <si>
    <t>0,112</t>
  </si>
  <si>
    <t>1,45</t>
  </si>
  <si>
    <t>2,33</t>
  </si>
  <si>
    <t>24,02</t>
  </si>
  <si>
    <t>26,35</t>
  </si>
  <si>
    <t>1,68</t>
  </si>
  <si>
    <t>6,89</t>
  </si>
  <si>
    <t>34,92</t>
  </si>
  <si>
    <t>Código:   94189U</t>
  </si>
  <si>
    <t>Descrição:   TELHAMENTO COM TELHA DE CONCRETO DE ENCAIXE, COM ATÉ 2 ÁGUAS, INCLUSO TRANSPORTE VERTICAL. AF_06/2016</t>
  </si>
  <si>
    <t>40865</t>
  </si>
  <si>
    <t>TELHA DE CONCRETO TIPO CLASSICA, COR CINZA, COMPRIMENTO DE *42* CM, RENDIMENTO DE *10* TELHAS/M2 (COLETADO CAIXA)</t>
  </si>
  <si>
    <t>11,484</t>
  </si>
  <si>
    <t>21,25</t>
  </si>
  <si>
    <t>0,153</t>
  </si>
  <si>
    <t>0,042</t>
  </si>
  <si>
    <t>0,0155</t>
  </si>
  <si>
    <t>0,20</t>
  </si>
  <si>
    <t>0,0215</t>
  </si>
  <si>
    <t>0,27</t>
  </si>
  <si>
    <t>22,67</t>
  </si>
  <si>
    <t>6,22</t>
  </si>
  <si>
    <t>31,53</t>
  </si>
  <si>
    <t>8.</t>
  </si>
  <si>
    <t>8.1</t>
  </si>
  <si>
    <t>8.2</t>
  </si>
  <si>
    <t>Código:   95305U</t>
  </si>
  <si>
    <t>Descrição:   TEXTURA ACRÍLICA, APLICAÇÃO MANUAL EM PAREDE, UMA DEMÃO. AF_09/2016</t>
  </si>
  <si>
    <t>38877</t>
  </si>
  <si>
    <t>MASSA PARA TEXTURA LISA DE BASE ACRILICA, USO INTERNO E EXTERNO</t>
  </si>
  <si>
    <t>1,14</t>
  </si>
  <si>
    <t>4,56</t>
  </si>
  <si>
    <t>88310U</t>
  </si>
  <si>
    <t>PINTOR COM ENCARGOS COMPLEMENTARES</t>
  </si>
  <si>
    <t>14,45</t>
  </si>
  <si>
    <t>2,72</t>
  </si>
  <si>
    <t>0,069</t>
  </si>
  <si>
    <t>0,87</t>
  </si>
  <si>
    <t>2,02</t>
  </si>
  <si>
    <t>6,77</t>
  </si>
  <si>
    <t>8,79</t>
  </si>
  <si>
    <t>1,46</t>
  </si>
  <si>
    <t>2,52</t>
  </si>
  <si>
    <t>12,77</t>
  </si>
  <si>
    <t>Código:   88489U</t>
  </si>
  <si>
    <t>Descrição:   APLICAÇÃO MANUAL DE PINTURA COM TINTA LÁTEX ACRÍLICA EM PAREDES, DUAS DEMÃOS. AF_06/2014</t>
  </si>
  <si>
    <t>7356</t>
  </si>
  <si>
    <t>TINTA ACRILICA PREMIUM, COR BRANCO FOSCO</t>
  </si>
  <si>
    <t>14,81</t>
  </si>
  <si>
    <t>0,187</t>
  </si>
  <si>
    <t>2,70</t>
  </si>
  <si>
    <t>2,01</t>
  </si>
  <si>
    <t>8,46</t>
  </si>
  <si>
    <t>2,44</t>
  </si>
  <si>
    <t>12,35</t>
  </si>
  <si>
    <t>Código:   15.014.0100-A</t>
  </si>
  <si>
    <t>13833</t>
  </si>
  <si>
    <t>KIT P/INST.DO SIST.DE AQUECIMENTO SOLAR, P/100 E 200L E 1 COLETOR VERT.OU HORIZ.(MAT.COMPLEM.AOS RESERV.E COLETORES)</t>
  </si>
  <si>
    <t>386,76</t>
  </si>
  <si>
    <t>17,8808</t>
  </si>
  <si>
    <t>20102</t>
  </si>
  <si>
    <t>MAO-DE-OBRA DE MONTADOR A (MONTAGEM DE ESTRUTURAS METALICAS), INCLUSIVE ENCARGOS SOCIAIS DESONERADOS</t>
  </si>
  <si>
    <t>7,1585</t>
  </si>
  <si>
    <t>15,862</t>
  </si>
  <si>
    <t>605,92</t>
  </si>
  <si>
    <t>992,68</t>
  </si>
  <si>
    <t>Código:   18.210.0012-A</t>
  </si>
  <si>
    <t>13390</t>
  </si>
  <si>
    <t>RESERVATORIO TERMICO DE BAIXA PRESSAO, PARA SISTEMA DE AQUECIMENTO SOLAR, COM 200L</t>
  </si>
  <si>
    <t>1286,16</t>
  </si>
  <si>
    <t>1.286,16</t>
  </si>
  <si>
    <t xml:space="preserve">8. </t>
  </si>
  <si>
    <t xml:space="preserve">                               </t>
  </si>
  <si>
    <t>21127</t>
  </si>
  <si>
    <t>FITA ISOLANTE ADESIVA ANTICHAMA, USO ATE 750 V, EM ROLO DE 19 MM X 5 M</t>
  </si>
  <si>
    <t>88247U</t>
  </si>
  <si>
    <t>AUXILIAR DE ELETRICISTA COM ENCARGOS COMPLEMENTARES</t>
  </si>
  <si>
    <t>88264U</t>
  </si>
  <si>
    <t>Código:   87630U</t>
  </si>
  <si>
    <t>Descrição:   CONTRAPISO EM ARGAMASSA TRAÇO 1:4 (CIMENTO E AREIA), PREPARO MECÂNICO COM BETONEIRA 400 L, APLICADO EM ÁREAS SECAS SOBRE LAJE, ADERIDO, ESPESSURA 3CM. AF_06/2014</t>
  </si>
  <si>
    <t>1379</t>
  </si>
  <si>
    <t>CIMENTO PORTLAND COMPOSTO CP II-32</t>
  </si>
  <si>
    <t>7334</t>
  </si>
  <si>
    <t>ADITIVO ADESIVO LIQUIDO PARA ARGAMASSAS DE REVESTIMENTOS CIMENTICIOS</t>
  </si>
  <si>
    <t>0,435</t>
  </si>
  <si>
    <t>3,70</t>
  </si>
  <si>
    <t>87301U</t>
  </si>
  <si>
    <t>ARGAMASSA TRAÇO 1:4 (CIMENTO E AREIA MÉDIA) PARA CONTRAPISO, PREPARO MECÂNICO COM BETONEIRA 400 L. AF_06/2014</t>
  </si>
  <si>
    <t>0,0431</t>
  </si>
  <si>
    <t>322,71</t>
  </si>
  <si>
    <t>4,65</t>
  </si>
  <si>
    <t>0,165</t>
  </si>
  <si>
    <t>2,09</t>
  </si>
  <si>
    <t>5,42</t>
  </si>
  <si>
    <t>19,11</t>
  </si>
  <si>
    <t>24,53</t>
  </si>
  <si>
    <t>3,92</t>
  </si>
  <si>
    <t>6,99</t>
  </si>
  <si>
    <t>35,44</t>
  </si>
  <si>
    <t>Data de referência de preços:   2017/08</t>
  </si>
  <si>
    <t>Código:   72253U</t>
  </si>
  <si>
    <t>Descrição:   CABO DE COBRE NU 35MM2 - FORNECIMENTO E INSTALACAO</t>
  </si>
  <si>
    <t>863</t>
  </si>
  <si>
    <t>13,33</t>
  </si>
  <si>
    <t>0,21</t>
  </si>
  <si>
    <t>11,70</t>
  </si>
  <si>
    <t>2,46</t>
  </si>
  <si>
    <t>13,97</t>
  </si>
  <si>
    <t>26,69</t>
  </si>
  <si>
    <t>Data de referência de preços:   2016/11</t>
  </si>
  <si>
    <t>Código:   21.015.0208-A</t>
  </si>
  <si>
    <t>Descrição:   ATERRAMENTO DE POSTE DE ACO,INCLUSIVE FORNECIMENTO DOS MATERATERRAMENTO DE POSTE DE ACO,INCLUSIVE FORNECIMENTO DOS MATERIAIS</t>
  </si>
  <si>
    <t>00289</t>
  </si>
  <si>
    <t>CABO SOLIDO DE COBRE ELETROLITICO NU, TEMPERA MOLE, CLASSE 2, SECAO CIRCULAR DE10,0 A 500,0MM2</t>
  </si>
  <si>
    <t>30,42</t>
  </si>
  <si>
    <t>15,21</t>
  </si>
  <si>
    <t>11607</t>
  </si>
  <si>
    <t>BARRA DE RE-GALVANIZACAO, REFERENCIA T319, ERICO OU SIMILAR</t>
  </si>
  <si>
    <t>46,72</t>
  </si>
  <si>
    <t>11608</t>
  </si>
  <si>
    <t>CARTUCHO PLASTICO, ERICO OU SIMILAR, COM PO DE SOLDA NA QUANTIDADE DE 45GR</t>
  </si>
  <si>
    <t>11609</t>
  </si>
  <si>
    <t>MOLDE DE GRAFITE SEMI-PERMANENTE, USINADO REFERENCIA VBC.W3, ERICO OU SIMILAR</t>
  </si>
  <si>
    <t>174,87</t>
  </si>
  <si>
    <t>11610</t>
  </si>
  <si>
    <t>MOLDE DE GRAFITE SEMI-PERMANENTE, USINADO, REF. XXB.W3.W3, ERICO OU SIMILAR</t>
  </si>
  <si>
    <t>1,75</t>
  </si>
  <si>
    <t>20005</t>
  </si>
  <si>
    <t>MAO-DE-OBRA DE AJUDANTE DE MONTADOR ELETROMECANICO (ILUMINACAO PUBLICA), INCLUSIVE ENCARGOS SOCIAIS DESONERADOS</t>
  </si>
  <si>
    <t>0,515</t>
  </si>
  <si>
    <t>10,09</t>
  </si>
  <si>
    <t>28,31</t>
  </si>
  <si>
    <t>33,51</t>
  </si>
  <si>
    <t>9,16</t>
  </si>
  <si>
    <t>46,43</t>
  </si>
  <si>
    <t>867</t>
  </si>
  <si>
    <t>0,31</t>
  </si>
  <si>
    <t>SINAPI 72254</t>
  </si>
  <si>
    <t>Código:   83485U</t>
  </si>
  <si>
    <t>Descrição:   HASTE DE ATERRAMENTO EM AÇO COM 3,00 M DE COMPRIMENTO E DN = 5/8" REVESTIDA COM BAIXA CAMADA DE COBRE, SEM CONECTOR</t>
  </si>
  <si>
    <t>3379</t>
  </si>
  <si>
    <t>HASTE DE ATERRAMENTO EM ACO COM 3,00 M DE COMPRIMENTO E DN = 5/8", REVESTIDA COM BAIXA CAMADA DE COBRE, SEM CONECTOR</t>
  </si>
  <si>
    <t>29,76</t>
  </si>
  <si>
    <t>4,68</t>
  </si>
  <si>
    <t>6,40</t>
  </si>
  <si>
    <t>33,63</t>
  </si>
  <si>
    <t>40,03</t>
  </si>
  <si>
    <t>4,63</t>
  </si>
  <si>
    <t>10,97</t>
  </si>
  <si>
    <t>55,64</t>
  </si>
  <si>
    <t>Data de referência de preços:   2017/09</t>
  </si>
  <si>
    <t>Código:   C3997</t>
  </si>
  <si>
    <t>BANCADA DE GRANITO C/ L=0,60m E E=0,03m</t>
  </si>
  <si>
    <t>CUBA DE AÇO INOX (47 x 30) cm</t>
  </si>
  <si>
    <t xml:space="preserve">                          </t>
  </si>
  <si>
    <t>Instalações Provisórias</t>
  </si>
  <si>
    <t>Despesas e Encargos Mensais</t>
  </si>
  <si>
    <t>1.2.3</t>
  </si>
  <si>
    <t>Construção da Escola de Ensino Fundamental II</t>
  </si>
  <si>
    <t>Unidade  Sesc Poconé</t>
  </si>
  <si>
    <t>SINAPI  96523</t>
  </si>
  <si>
    <t>SINAPI  96995</t>
  </si>
  <si>
    <t>SINAPI  72897</t>
  </si>
  <si>
    <t>INFRAESTRUTURA</t>
  </si>
  <si>
    <t>Trabalhos em Terra</t>
  </si>
  <si>
    <t>Fundações</t>
  </si>
  <si>
    <t>SINAPI  96619</t>
  </si>
  <si>
    <t>SINAPI  96545</t>
  </si>
  <si>
    <t>SINAPI  94965</t>
  </si>
  <si>
    <t>SUPRAESTRUTURA</t>
  </si>
  <si>
    <t xml:space="preserve">Total item:   3  </t>
  </si>
  <si>
    <t>Esquadrias</t>
  </si>
  <si>
    <t>Vidros</t>
  </si>
  <si>
    <t>4.1.1</t>
  </si>
  <si>
    <t>4.2</t>
  </si>
  <si>
    <t>4.2.1</t>
  </si>
  <si>
    <t>4.3</t>
  </si>
  <si>
    <t xml:space="preserve">Total item:   4  </t>
  </si>
  <si>
    <t>COBERTURAS E PROTEÇÕES</t>
  </si>
  <si>
    <t xml:space="preserve">Total item:   5  </t>
  </si>
  <si>
    <t>5.3</t>
  </si>
  <si>
    <t>5.4</t>
  </si>
  <si>
    <t>2.1.1</t>
  </si>
  <si>
    <t>2.2.1</t>
  </si>
  <si>
    <t>2.2.2</t>
  </si>
  <si>
    <t>2.2.3</t>
  </si>
  <si>
    <t>Pinturas</t>
  </si>
  <si>
    <t>Total item:   6</t>
  </si>
  <si>
    <t>Total item:   7</t>
  </si>
  <si>
    <t>INSTALAÇÕES E APARELHOS</t>
  </si>
  <si>
    <t>Instalações Elétricas</t>
  </si>
  <si>
    <t>8.1.1</t>
  </si>
  <si>
    <t>8.1.2</t>
  </si>
  <si>
    <t>8.1.3</t>
  </si>
  <si>
    <t>8.1.4</t>
  </si>
  <si>
    <t>8.1.5</t>
  </si>
  <si>
    <t>Instalações de Água Fria</t>
  </si>
  <si>
    <t>8.3</t>
  </si>
  <si>
    <t>Instalações de Esgoto Sanitário</t>
  </si>
  <si>
    <t>8.1.6</t>
  </si>
  <si>
    <t>8.1.7</t>
  </si>
  <si>
    <t>8.1.8</t>
  </si>
  <si>
    <t>8.2.1</t>
  </si>
  <si>
    <t>8.2.2</t>
  </si>
  <si>
    <t>8.2.4</t>
  </si>
  <si>
    <t>8.2.5</t>
  </si>
  <si>
    <t>8.2.6</t>
  </si>
  <si>
    <t>8.3.1</t>
  </si>
  <si>
    <t>8.3.2</t>
  </si>
  <si>
    <t>8.4</t>
  </si>
  <si>
    <t>Instalações de Ar Condicionado</t>
  </si>
  <si>
    <t>8.4.1</t>
  </si>
  <si>
    <t>8.4.3</t>
  </si>
  <si>
    <t>8.4.4</t>
  </si>
  <si>
    <t>8.5</t>
  </si>
  <si>
    <t>Louças e Metais</t>
  </si>
  <si>
    <t>8.5.1</t>
  </si>
  <si>
    <t>8.5.2</t>
  </si>
  <si>
    <t>8.4.5</t>
  </si>
  <si>
    <t>8.4.6</t>
  </si>
  <si>
    <t>8.4.8</t>
  </si>
  <si>
    <t>8.7</t>
  </si>
  <si>
    <t>SPDA</t>
  </si>
  <si>
    <t>Incêndio</t>
  </si>
  <si>
    <t>Total item:   8</t>
  </si>
  <si>
    <t>9.</t>
  </si>
  <si>
    <t>COMPLEMENTAÇÃO DA OBRA</t>
  </si>
  <si>
    <t>9.1</t>
  </si>
  <si>
    <t>LIMPEZA FINAL DA OBRA</t>
  </si>
  <si>
    <t>Total item:   9</t>
  </si>
  <si>
    <t>9.2</t>
  </si>
  <si>
    <t>COMPOSIÇÕES AUXILIARES</t>
  </si>
  <si>
    <t>PREÇO SINAPI MT 05/2018</t>
  </si>
  <si>
    <t>CODIGO</t>
  </si>
  <si>
    <t>88236 SINAPI MT 2018</t>
  </si>
  <si>
    <t>FERRAMENTAS (ENCARGOS COMPLEMENTARES) - HORISTA</t>
  </si>
  <si>
    <t>BALDE PLASTICO CAPACIDADE *10* L</t>
  </si>
  <si>
    <t>0,0080172</t>
  </si>
  <si>
    <t>CARRINHO DE MAO DE ACO CAPACIDADE 50 A 60 L, PNEU COM CAMARA</t>
  </si>
  <si>
    <t>0,0006646</t>
  </si>
  <si>
    <t>ESMERILHADEIRA ANGULAR ELETRICA, DIAMETRO DO DISCO 7 '' (180 MM), ROTACAO 8500 RPM, POTENCIA 2400 W</t>
  </si>
  <si>
    <t>0,0000677</t>
  </si>
  <si>
    <t>FITA CREPE ROLO DE 25 MM X 50 M</t>
  </si>
  <si>
    <t>0,0090691</t>
  </si>
  <si>
    <t>REDUTOR TIPO THINNER PARA ACABAMENTO</t>
  </si>
  <si>
    <t>L</t>
  </si>
  <si>
    <t>0,0015115</t>
  </si>
  <si>
    <t>LINHA DE PEDREIRO LISA 100 M</t>
  </si>
  <si>
    <t>0,0027300</t>
  </si>
  <si>
    <t>ROLO DE LA DE CARNEIRO 23 CM (SEM CABO)</t>
  </si>
  <si>
    <t>ROLO DE ESPUMA POLIESTER 23 CM (SEM CABO)</t>
  </si>
  <si>
    <t>SELADOR HORIZONTAL PARA FITA DE ACO 1 "</t>
  </si>
  <si>
    <t>0,0000542</t>
  </si>
  <si>
    <t>BOLSA DE LONA PARA FERRAMENTAS *50 X 35 X 25* CM</t>
  </si>
  <si>
    <t>0,0002708</t>
  </si>
  <si>
    <t>LIXADEIRA ELETRICA ANGULAR, PARA DISCO DE 7 " (180 MM), POTENCIA DE 2.200 W, *5.000* RPM, 220 V</t>
  </si>
  <si>
    <t>0,0000441</t>
  </si>
  <si>
    <t>ESCADA DUPLA DE ABRIR EM ALUMINIO, MODELO PINTOR, 8 DEGRAUS</t>
  </si>
  <si>
    <t>0,0002057</t>
  </si>
  <si>
    <t>ESCADA EXTENSIVEL EM ALUMINIO COM 6,00 M ESTENDIDA</t>
  </si>
  <si>
    <t>88237 SINAPI MT 05/2018</t>
  </si>
  <si>
    <t>EPI (ENCARGOS COMPLEMENTARES) - HORISTA</t>
  </si>
  <si>
    <t>PAR</t>
  </si>
  <si>
    <t>0,0137346</t>
  </si>
  <si>
    <t>0,0016010</t>
  </si>
  <si>
    <t>RESPIRADOR DESCARTAVEL SEM VALVULA DE EXALACAO, PFF 1</t>
  </si>
  <si>
    <t>0,1114872</t>
  </si>
  <si>
    <t>PROTETOR SOLAR FPS 30, EMBALAGEM 2 LITROS</t>
  </si>
  <si>
    <t>0,0012403</t>
  </si>
  <si>
    <t>TRAVA-QUEDAS EM ACO PARA CORDA DE 12 MM, EXTENSOR DE 25 X 300 MM, COM MOSQUETAO TIPO GANCHO TRAVA DUPLA</t>
  </si>
  <si>
    <t>0,0007200</t>
  </si>
  <si>
    <t>AVENTAL DE SEGURANCA DE RASPA DE COURO 1,00 X 0,60 M</t>
  </si>
  <si>
    <t>0,0026463</t>
  </si>
  <si>
    <t>TALABARTE DE SEGURANCA, 2 MOSQUETOES TRAVA DUPLA *53* MM DE ABERTURA, COM ABSORVEDOR DE ENERGIA</t>
  </si>
  <si>
    <t>0,0010750</t>
  </si>
  <si>
    <t>95311 SINAPI MT 05/2018</t>
  </si>
  <si>
    <t>CURSO DE CAPACITAÇÃO PARA AJUDANTE DE OPERAÇÃO EM GERAL (ENCARGOS COMPLEMENTARES) - HORISTA</t>
  </si>
  <si>
    <t>248</t>
  </si>
  <si>
    <t>AJUDANTE DE OPERACAO EM GERAL</t>
  </si>
  <si>
    <t>95378 SINAPI MT 05/2018</t>
  </si>
  <si>
    <t>CURSO DE CAPACITAÇÃO PARA SERVENTE (ENCARGOS COMPLEMENTARES) - HORISTA</t>
  </si>
  <si>
    <t>SERVENTE DE OBRAS</t>
  </si>
  <si>
    <t>95348 SINAPI MT 05/2018</t>
  </si>
  <si>
    <t>MOTORISTA DE CAMINHÃO-CARRETA</t>
  </si>
  <si>
    <t>95346 SINAPI MT 05/2018</t>
  </si>
  <si>
    <t>CURSO DE CAPACITAÇÃO PARA MOTORISTA DE BASCULANTE (ENCARGOS COMPLEMENTARES) - HORISTA</t>
  </si>
  <si>
    <t>MOTORISTA DE CAMINHÃO BASCULANTE</t>
  </si>
  <si>
    <t>95330 SINAPI MT 05/2018</t>
  </si>
  <si>
    <t>CURSO DE CAPACITAÇÃO PARA CARPINTEIRO DE FORMAS (ENCARGOS COMPLEMENTARES) - HORISTA</t>
  </si>
  <si>
    <t>CARPINTEIRO DE FORMAS</t>
  </si>
  <si>
    <t>95371 SINAPI MT 05/2018</t>
  </si>
  <si>
    <t>CURSO DE CAPACITAÇÃO PARA PEDREIRO (ENCARGOS COMPLEMENTARES) - HORISTA</t>
  </si>
  <si>
    <t>5961 SINAPI MT 2018</t>
  </si>
  <si>
    <t>CAMINHÃO BASCULANTE 6 M3, PESO BRUTO TOTAL 16.000 KG, CARGA ÚTIL MÁXIMA 13.071 KG, DISTÂNCIA ENTRE EIXOS 4,80 M, POTÊNCIA 230 CV INCLUSIVE CAÇAMBA METÁLICA</t>
  </si>
  <si>
    <t>CHI</t>
  </si>
  <si>
    <t>MOTORISTA DE BASCULANTE COM ENCARGOS COMPLEMENTARES</t>
  </si>
  <si>
    <t>91367</t>
  </si>
  <si>
    <t>CAMINHÃO BASCULANTE 6 M3, PESO BRUTO TOTAL 16.000 KG, CARGA ÚTIL MÁXIMA 13.071 KG, DISTÂNCIA ENTRE EIXOS 4,80 M, POTÊNCIA 230 CV INCLUSIVE CAÇAMBA METÁLICA - DEPRECIAÇÃO</t>
  </si>
  <si>
    <t>EQUIP</t>
  </si>
  <si>
    <t>91368</t>
  </si>
  <si>
    <t>CAMINHÃO BASCULANTE 6 M3, PESO BRUTO TOTAL 16.000 KG, CARGA ÚTIL MÁXIMA 13.071 KG, DISTÂNCIA ENTRE EIXOS 4,80 M, POTÊNCIA 230 CV INCLUSIVE CAÇAMBA METÁLICA - JUROS</t>
  </si>
  <si>
    <t>91369</t>
  </si>
  <si>
    <t xml:space="preserve">CAMINHÃO BASCULANTE 6 M3, PESO BRUTO TOTAL 16.000 KG, CARGA ÚTIL MÁXIMA 13.071 KG, DISTÂNCIA ENTRE EIXOS 4,80 M, POTÊNCIA 230 CV INCLUSIVE CAÇAMBA METÁLICA - IMPOSTOS E SEGUROS. </t>
  </si>
  <si>
    <t>91367 SINAPI MT 2018</t>
  </si>
  <si>
    <t>CAMINHÃO BASCULANTE 6 M3, PESO BRUTO TOTAL 16.000 KG, CARGA ÚTIL MÁXIMA 13.071 KG, DISTÂNCIA ENTRE EIXOS 4,80 M, POTÊNCIA 230 CV INCLUSIVE CAÇAMBA METÁLICA - DEPRECIAÇÃO. AF_06/2014</t>
  </si>
  <si>
    <t>37733</t>
  </si>
  <si>
    <t>CACAMBA METALICA BASCULANTE COM CAPACIDADE DE 6 M3 (INCLUI MONTAGEM, NAO INCLUI CAMINHAO)</t>
  </si>
  <si>
    <t>37760</t>
  </si>
  <si>
    <t>CAMINHAO TOCO, PESO BRUTO TOTAL 16000 KG, CARGA UTIL MAXIMA 13071 KG, DISTANCIA ENTRE EIXOS 4,80 M, POTENCIA 230 CV (INCLUI CABINE E CHASSI, NAO INCLUI CARROCERIA)</t>
  </si>
  <si>
    <t>251.584,95</t>
  </si>
  <si>
    <t>91368 SINAPI MT 2018</t>
  </si>
  <si>
    <t>91369 SINAPI MT 2018</t>
  </si>
  <si>
    <t>CAMINHÃO BASCULANTE 6 M3, PESO BRUTO TOTAL 16.000 KG, CARGA ÚTIL MÁXIMA 13.071 KG, DISTÂNCIA ENTRE EIXOS 4,80 M, POTÊNCIA 230 CV INCLUSIVE CAÇAMBA METÁLICA - IMPOSTOS E SEGUROS</t>
  </si>
  <si>
    <t>91533 SINAPI MT 2018</t>
  </si>
  <si>
    <t>COMPACTADOR DE SOLOS DE PERCUSSÃO (SOQUETE) COM MOTOR A GASOLINA 4 TEMPOS, POTÊNCIA 4 CV - CHP DIURNO.</t>
  </si>
  <si>
    <t>CHP</t>
  </si>
  <si>
    <t>OPERADOR DE MÁQUINAS E EQUIPAMENTOS COM ENCARGOS COMPLEMENTARES</t>
  </si>
  <si>
    <t>91529</t>
  </si>
  <si>
    <t xml:space="preserve">COMPACTADOR DE SOLOS DE PERCUSSÃO (SOQUETE) COM MOTOR A GASOLINA 4 TEMPOS, POTÊNCIA 4 CV - DEPRECIAÇÃO. </t>
  </si>
  <si>
    <t>91530</t>
  </si>
  <si>
    <t>COMPACTADOR DE SOLOS DE PERCUSSÃO (SOQUETE) COM MOTOR A GASOLINA 4 TEMPOS, POTÊNCIA 4 CV - JUROS.</t>
  </si>
  <si>
    <t>91531</t>
  </si>
  <si>
    <t>COMPACTADOR DE SOLOS DE PERCUSSÃO (SOQUETE) COM MOTOR A GASOLINA 4 TEMPOS, POTÊNCIA 4 CV - MANUTENÇÃO.</t>
  </si>
  <si>
    <t>91532</t>
  </si>
  <si>
    <t>COMPACTADOR DE SOLOS DE PERCUSSÃO (SOQUETE) COM MOTOR A GASOLINA 4 TEMPOS, POTÊNCIA 4 CV - MATERIAIS NA OPERAÇÃO.</t>
  </si>
  <si>
    <t>PREÇO SINAPI 05/2018</t>
  </si>
  <si>
    <t>88297 SINAPI MT 05/2018</t>
  </si>
  <si>
    <t>OPERADOR DE MÁQUINAS E TRATORES DIVERSOS (TERRAPLANAGEM)</t>
  </si>
  <si>
    <t>37370</t>
  </si>
  <si>
    <t>ALIMENTACAO - HORISTA (ENCARGOS COMPLEMENTARES) (COLETADO CAIXA)</t>
  </si>
  <si>
    <t>SERV</t>
  </si>
  <si>
    <t>37371</t>
  </si>
  <si>
    <t>TRANSPORTE - HORISTA (ENCARGOS COMPLEMENTARES) (COLETADO CAIXA)</t>
  </si>
  <si>
    <t>37372</t>
  </si>
  <si>
    <t>EXAMES - HORISTA (ENCARGOS COMPLEMENTARES) (COLETADO CAIXA)</t>
  </si>
  <si>
    <t>37373</t>
  </si>
  <si>
    <t>SEGURO - HORISTA (ENCARGOS COMPLEMENTARES) (COLETADO CAIXA)</t>
  </si>
  <si>
    <t>88237</t>
  </si>
  <si>
    <t>CURSO DE CAPACITAÇÃO PARA OPERADOR DE MÁQUINAS E EQUIPAMENTOS (ENCARGOS COMPLEMENTARES) - HORISTA</t>
  </si>
  <si>
    <t>95360 SINAPI MT 05/2018</t>
  </si>
  <si>
    <t>91529 SINAPI MT 05/2018</t>
  </si>
  <si>
    <t>13458</t>
  </si>
  <si>
    <t>COMPACTADOR DE SOLOS DE PERCURSAO (SOQUETE) COM MOTOR A GASOLINA 4 TEMPOS DE 4 HP (4 CV)</t>
  </si>
  <si>
    <t>91530 SINAPI MT 05/2018</t>
  </si>
  <si>
    <t>COMPACTADOR DE SOLOS DE PERCUSSÃO (SOQUETE) COM MOTOR A GASOLINA 4 TEMPOS, POTÊNCIA 4 CV - JUROS</t>
  </si>
  <si>
    <t>91531 SINAPI MT 05/2018</t>
  </si>
  <si>
    <t>COMPACTADOR DE SOLOS DE PERCUSSÃO (SOQUETE) COM MOTOR A GASOLINA 4 TEMPOS, POTÊNCIA 4 CV - MANUTENÇÃO</t>
  </si>
  <si>
    <t>91532 SINAPI MT 05/2018</t>
  </si>
  <si>
    <t>COMPACTADOR DE SOLOS DE PERCUSSÃO (SOQUETE) COM MOTOR A GASOLINA 4 TEMPOS, POTÊNCIA 4 CV - MATERIAIS NA OPERAÇÃO</t>
  </si>
  <si>
    <t>GASOLINA COMUM</t>
  </si>
  <si>
    <t>91534 SINAPI MT 2018</t>
  </si>
  <si>
    <t xml:space="preserve">COMPACTADOR DE SOLOS DE PERCUSSÃO (SOQUETE) COM MOTOR A GASOLINA 4 TEMPOS, POTÊNCIA 4 CV - CHI DIURNO. </t>
  </si>
  <si>
    <t>94968 SINAPI MT 2018</t>
  </si>
  <si>
    <t xml:space="preserve">CONCRETO MAGRO PARA LASTRO, TRAÇO 1:4,5:4,5 (CIMENTO/ AREIA MÉDIA/ BRITA 1)  - PREPARO MECÂNICO COM BETONEIRA 600 L. </t>
  </si>
  <si>
    <t>M3</t>
  </si>
  <si>
    <t>370</t>
  </si>
  <si>
    <t>AREIA MEDIA - POSTO JAZIDA/FORNECEDOR (RETIRADO NA JAZIDA, SEM TRANSPORTE)</t>
  </si>
  <si>
    <t>KG</t>
  </si>
  <si>
    <t>4721</t>
  </si>
  <si>
    <t>PEDRA BRITADA N. 1 (9,5 a 19 MM) POSTO PEDREIRA/FORNECEDOR, SEM FRETE</t>
  </si>
  <si>
    <t>88316</t>
  </si>
  <si>
    <t>88377</t>
  </si>
  <si>
    <t>OPERADOR DE BETONEIRA ESTACIONÁRIA/MISTURADOR COM ENCARGOS COMPLEMENTARES</t>
  </si>
  <si>
    <t>89225</t>
  </si>
  <si>
    <t>BETONEIRA CAPACIDADE NOMINAL DE 600 L, CAPACIDADE DE MISTURA 360 L, MOTOR ELÉTRICO TRIFÁSICO POTÊNCIA DE 4 CV, SEM CARREGADOR - CHP DIURNO. AF_11/2014</t>
  </si>
  <si>
    <t>89226</t>
  </si>
  <si>
    <t>BETONEIRA CAPACIDADE NOMINAL DE 600 L, CAPACIDADE DE MISTURA 360 L, MOTOR ELÉTRICO TRIFÁSICO POTÊNCIA DE 4 CV, SEM CARREGADOR - CHI DIURNO. AF_11/2014</t>
  </si>
  <si>
    <t>88377 SINAPI MT 05/2018</t>
  </si>
  <si>
    <t>OPERADOR DE BETONEIRA ESTACIONÁRIA/MISTURADOR</t>
  </si>
  <si>
    <t>CURSO DE CAPACITAÇÃO PARA OPERADOR DE BETONEIRA ESTACIONÁRIA/MISTURADOR (ENCARGOS COMPLEMENTARES) - HORISTA</t>
  </si>
  <si>
    <t>95389 SINAPI MT 05/2018</t>
  </si>
  <si>
    <t>89225 SINAPI MT 2018</t>
  </si>
  <si>
    <t>BETONEIRA CAPACIDADE NOMINAL DE 600 L, CAPACIDADE DE MISTURA 360 L, MOTOR ELÉTRICO TRIFÁSICO POTÊNCIA DE 4 CV, SEM CARREGADOR - CHP DIURNO.</t>
  </si>
  <si>
    <t>89221</t>
  </si>
  <si>
    <t xml:space="preserve">BETONEIRA CAPACIDADE NOMINAL DE 600 L, CAPACIDADE DE MISTURA 360 L, MOTOR ELÉTRICO TRIFÁSICO POTÊNCIA DE 4 CV, SEM CARREGADOR - DEPRECIAÇÃO. </t>
  </si>
  <si>
    <t>89222</t>
  </si>
  <si>
    <t xml:space="preserve">BETONEIRA CAPACIDADE NOMINAL DE 600 L, CAPACIDADE DE MISTURA 360 L, MOTOR ELÉTRICO TRIFÁSICO POTÊNCIA DE 4 CV, SEM CARREGADOR - JUROS. </t>
  </si>
  <si>
    <t>89223</t>
  </si>
  <si>
    <t xml:space="preserve">BETONEIRA CAPACIDADE NOMINAL DE 600 L, CAPACIDADE DE MISTURA 360 L, MOTOR ELÉTRICO TRIFÁSICO POTÊNCIA DE 4 CV, SEM CARREGADOR - MANUTENÇÃO. </t>
  </si>
  <si>
    <t>89224</t>
  </si>
  <si>
    <t xml:space="preserve">BETONEIRA CAPACIDADE NOMINAL DE 600 L, CAPACIDADE DE MISTURA 360 L, MOTOR ELÉTRICO TRIFÁSICO POTÊNCIA DE 4 CV, SEM CARREGADOR - MATERIAIS NA OPERAÇÃO. </t>
  </si>
  <si>
    <t>89221 SINAPI MT 2018</t>
  </si>
  <si>
    <t>BETONEIRA, CAPACIDADE NOMINAL 600 L, CAPACIDADE DE MISTURA  360L, MOTOR ELETRICO TRIFASICO 220/380V, POTENCIA 4CV, EXCLUSO CARREGADOR</t>
  </si>
  <si>
    <t>89222 SINAPI MT 2018</t>
  </si>
  <si>
    <t>BETONEIRA CAPACIDADE NOMINAL DE 600 L, CAPACIDADE DE MISTURA 360 L, MOTOR ELÉTRICO TRIFÁSICO POTÊNCIA DE 4 CV, SEM CARREGADOR - JUROS</t>
  </si>
  <si>
    <t>89223 SINAPI MT 2018</t>
  </si>
  <si>
    <t>BETONEIRA CAPACIDADE NOMINAL DE 600 L, CAPACIDADE DE MISTURA 360 L, MOTOR ELÉTRICO TRIFÁSICO POTÊNCIA DE 4 CV, SEM CARREGADOR - MANUTENÇÃO</t>
  </si>
  <si>
    <t>89224 SINAPI MT 2018</t>
  </si>
  <si>
    <t>BETONEIRA CAPACIDADE NOMINAL DE 600 L, CAPACIDADE DE MISTURA 360 L, MOTOR ELÉTRICO TRIFÁSICO POTÊNCIA DE 4 CV, SEM CARREGADOR - MATERIAIS NA OPERAÇÃO</t>
  </si>
  <si>
    <t>2705</t>
  </si>
  <si>
    <t>ENERGIA ELETRICA ATE 2000 KWH INDUSTRIAL, SEM DEMANDA</t>
  </si>
  <si>
    <t>KW/H</t>
  </si>
  <si>
    <t>89226 SINAPI MT 2018</t>
  </si>
  <si>
    <t>BETONEIRA CAPACIDADE NOMINAL DE 600 L, CAPACIDADE DE MISTURA 360 L, MOTOR ELÉTRICO TRIFÁSICO POTÊNCIA DE 4 CV, SEM CARREGADOR - CHI DIURNO.</t>
  </si>
  <si>
    <t>91692 SINAPI MT 2018</t>
  </si>
  <si>
    <t xml:space="preserve">SERRA CIRCULAR DE BANCADA COM MOTOR ELÉTRICO POTÊNCIA DE 5HP, COM COIFA PARA DISCO 10" - CHP DIURNO. </t>
  </si>
  <si>
    <t>88297</t>
  </si>
  <si>
    <t>91688</t>
  </si>
  <si>
    <t>SERRA CIRCULAR DE BANCADA COM MOTOR ELÉTRICO POTÊNCIA DE 5HP, COM COIFA PARA DISCO 10" - DEPRECIAÇÃO.</t>
  </si>
  <si>
    <t>91689</t>
  </si>
  <si>
    <t xml:space="preserve">SERRA CIRCULAR DE BANCADA COM MOTOR ELÉTRICO POTÊNCIA DE 5HP, COM COIFA PARA DISCO 10" - JUROS. </t>
  </si>
  <si>
    <t>91690</t>
  </si>
  <si>
    <t xml:space="preserve">SERRA CIRCULAR DE BANCADA COM MOTOR ELÉTRICO POTÊNCIA DE 5HP, COM COIFA PARA DISCO 10" - MANUTENÇÃO. </t>
  </si>
  <si>
    <t>91691</t>
  </si>
  <si>
    <t xml:space="preserve">SERRA CIRCULAR DE BANCADA COM MOTOR ELÉTRICO POTÊNCIA DE 5HP, COM COIFA PARA DISCO 10" - MATERIAIS NA OPERAÇÃO. </t>
  </si>
  <si>
    <t>91688 SINAPI MT 2018</t>
  </si>
  <si>
    <t>14618</t>
  </si>
  <si>
    <t>SERRA CIRCULAR DE BANCADA COM MOTOR ELETRICO, POTENCIA DE *1600* W, PARA DISCO DE DIAMETRO DE 10" (250 MM)</t>
  </si>
  <si>
    <t>91689 SINAPI MT 2018</t>
  </si>
  <si>
    <t>SERRA CIRCULAR DE BANCADA COM MOTOR ELÉTRICO POTÊNCIA DE 5HP, COM COIFA PARA DISCO 10" - JUROS.</t>
  </si>
  <si>
    <t>91690 SINAPI MT 2018</t>
  </si>
  <si>
    <t>SERRA CIRCULAR DE BANCADA COM MOTOR ELÉTRICO POTÊNCIA DE 5HP, COM COIFA PARA DISCO 10" - MANUTENÇÃO.</t>
  </si>
  <si>
    <t>91691 SINAPI MT 2018</t>
  </si>
  <si>
    <t>SERRA CIRCULAR DE BANCADA COM MOTOR ELÉTRICO POTÊNCIA DE 5HP, COM COIFA PARA DISCO 10" - MATERIAIS NA OPERAÇÃO.</t>
  </si>
  <si>
    <t>91693 SINAPI MT 2018</t>
  </si>
  <si>
    <t xml:space="preserve">SERRA CIRCULAR DE BANCADA COM MOTOR ELÉTRICO POTÊNCIA DE 5HP, COM COIFA PARA DISCO 10" - CHI DIURNO. </t>
  </si>
  <si>
    <t>95308 SINAPI MT 05/2018</t>
  </si>
  <si>
    <t>CURSO DE CAPACITAÇÃO PARA AJUDANTE DE ARMADOR (ENCARGOS COMPLEMENTARES) - HORISTA</t>
  </si>
  <si>
    <t>AJUDANTE DE ARMADOR</t>
  </si>
  <si>
    <t>CURSO DE CAPACITAÇÃO PARA ARMADOR (ENCARGOS COMPLEMENTARES) - HORISTA</t>
  </si>
  <si>
    <t>ARMADOR</t>
  </si>
  <si>
    <t>CORTE E DOBRA DE AÇO CA-50, DIÂMETRO DE 8,0 MM, UTILIZADO EM ESTRUTURAS DIVERSAS, EXCETO LAJES.</t>
  </si>
  <si>
    <t>33</t>
  </si>
  <si>
    <t>ACO CA-50, 8,0 MM, VERGALHAO</t>
  </si>
  <si>
    <t>88238</t>
  </si>
  <si>
    <t>AJUDANTE DE ARMADOR COM ENCARGOS COMPLEMENTARES</t>
  </si>
  <si>
    <t>ARMADOR COM ENCARGOS COMPLEMENTARES</t>
  </si>
  <si>
    <t xml:space="preserve">CORTE E DOBRA DE AÇO CA-50, DIÂMETRO DE 10,0 MM, UTILIZADO EM ESTRUTURAS DIVERSAS, EXCETO LAJES. </t>
  </si>
  <si>
    <t>ACO CA-50, 10,0 MM, VERGALHAO</t>
  </si>
  <si>
    <t>88830 SINAPI MT 2018</t>
  </si>
  <si>
    <t xml:space="preserve">BETONEIRA CAPACIDADE NOMINAL DE 400 L, CAPACIDADE DE MISTURA 280 L, MOTOR ELÉTRICO TRIFÁSICO POTÊNCIA DE 2 CV, SEM CARREGADOR - CHP DIURNO. </t>
  </si>
  <si>
    <t xml:space="preserve">BETONEIRA CAPACIDADE NOMINAL DE 400 L, CAPACIDADE DE MISTURA 280 L, MOTOR ELÉTRICO TRIFÁSICO POTÊNCIA DE 2 CV, SEM CARREGADOR - DEPRECIAÇÃO. </t>
  </si>
  <si>
    <t xml:space="preserve">BETONEIRA CAPACIDADE NOMINAL DE 400 L, CAPACIDADE DE MISTURA 280 L, MOTOR ELÉTRICO TRIFÁSICO POTÊNCIA DE 2 CV, SEM CARREGADOR - JUROS. </t>
  </si>
  <si>
    <t xml:space="preserve">BETONEIRA CAPACIDADE NOMINAL DE 400 L, CAPACIDADE DE MISTURA 280 L, MOTOR ELÉTRICO TRIFÁSICO POTÊNCIA DE 2 CV, SEM CARREGADOR - MANUTENÇÃO. </t>
  </si>
  <si>
    <t xml:space="preserve">BETONEIRA CAPACIDADE NOMINAL DE 400 L, CAPACIDADE DE MISTURA 280 L, MOTOR ELÉTRICO TRIFÁSICO POTÊNCIA DE 2 CV, SEM CARREGADOR - MATERIAIS NA OPERAÇÃO. </t>
  </si>
  <si>
    <t>88826 SINAPI MT 2018</t>
  </si>
  <si>
    <t>BETONEIRA, CAPACIDADE NOMINAL 400 L, CAPACIDADE DE MISTURA  280L, MOTOR ELETRICO TRIFASICO 220/380V, POTENCIA 2CV, EXCLUSO CARREGADOR</t>
  </si>
  <si>
    <t>88827 SINAPI MT 2018</t>
  </si>
  <si>
    <t>BETONEIRA CAPACIDADE NOMINAL DE 400 L, CAPACIDADE DE MISTURA 280 L, MOTOR ELÉTRICO TRIFÁSICO POTÊNCIA DE 2 CV, SEM CARREGADOR - JUROS</t>
  </si>
  <si>
    <t>BETONEIRA, CAPACIDADE NOMINAL 400 L, CAPACIDADE DE MISTURA  280L, MOTOR ELETRICO TRIFASICO 220/380V, POTENCIA 4CV, EXCLUSO CARREGADOR</t>
  </si>
  <si>
    <t>88828 SINAPI MT 2018</t>
  </si>
  <si>
    <t>BETONEIRA CAPACIDADE NOMINAL DE 400 L, CAPACIDADE DE MISTURA 280 L, MOTOR ELÉTRICO TRIFÁSICO POTÊNCIA DE 2 CV, SEM CARREGADOR - MANUTENÇÃO</t>
  </si>
  <si>
    <t>88829 SINAPI MT 2018</t>
  </si>
  <si>
    <t>BETONEIRA CAPACIDADE NOMINAL DE 400 L, CAPACIDADE DE MISTURA 280 L, MOTOR ELÉTRICO TRIFÁSICO POTÊNCIA DE 2 CV, SEM CARREGADOR - MATERIAIS NA OPERAÇÃO</t>
  </si>
  <si>
    <t>88831 SINAPI MT 2018</t>
  </si>
  <si>
    <t xml:space="preserve">BETONEIRA CAPACIDADE NOMINAL DE 400 L, CAPACIDADE DE MISTURA 280 L, MOTOR ELÉTRICO TRIFÁSICO POTÊNCIA DE 2 CV, SEM CARREGADOR - CHI DIURNO. </t>
  </si>
  <si>
    <t>GUINCHO ELÉTRICO DE COLUNA, CAPACIDADE 400 KG, COM MOTO FREIO, MOTOR TRIFÁSICO DE 1,25 CV - CHP DIURNO.</t>
  </si>
  <si>
    <t>88295</t>
  </si>
  <si>
    <t>OPERADOR DE GUINCHO COM ENCARGOS COMPLEMENTARES</t>
  </si>
  <si>
    <t>GUINCHO ELÉTRICO DE COLUNA, CAPACIDADE 400 KG, COM MOTO FREIO, MOTOR TRIFÁSICO DE 1,25 CV - DEPRECIAÇÃO. AF_03/2016</t>
  </si>
  <si>
    <t>GUINCHO ELÉTRICO DE COLUNA, CAPACIDADE 400 KG, COM MOTO FREIO, MOTOR TRIFÁSICO DE 1,25 CV - JUROS. AF_03/2016</t>
  </si>
  <si>
    <t>GUINCHO ELÉTRICO DE COLUNA, CAPACIDADE 400 KG, COM MOTO FREIO, MOTOR TRIFÁSICO DE 1,25 CV - MANUTENÇÃO. AF_03/2016</t>
  </si>
  <si>
    <t>GUINCHO ELÉTRICO DE COLUNA, CAPACIDADE 400 KG, COM MOTO FREIO, MOTOR TRIFÁSICO DE 1,25 CV - MATERIAIS NA OPERAÇÃO. AF_03/2016</t>
  </si>
  <si>
    <t>88295 SINAPI MT 05/2018</t>
  </si>
  <si>
    <t>OPERADOR DE GUINCHO</t>
  </si>
  <si>
    <t>CURSO DE CAPACITAÇÃO PARA OPERADOR DE GUINCHO (ENCARGOS COMPLEMENTARES) - HORISTA</t>
  </si>
  <si>
    <t>95358 SINAPI MT 05/2018</t>
  </si>
  <si>
    <t>CLASS</t>
  </si>
  <si>
    <t xml:space="preserve">GUINCHO ELÉTRICO DE COLUNA, CAPACIDADE 400 KG, COM MOTO FREIO, MOTOR TRIFÁSICO DE 1,25 CV - DEPRECIAÇÃO. </t>
  </si>
  <si>
    <t>36487</t>
  </si>
  <si>
    <t>GUINCHO ELETRICO DE COLUNA, CAPACIDADE 400 KG, COM MOTO FREIO, MOTOR TRIFASICO DE 1,25 CV</t>
  </si>
  <si>
    <t xml:space="preserve">GUINCHO ELÉTRICO DE COLUNA, CAPACIDADE 400 KG, COM MOTO FREIO, MOTOR TRIFÁSICO DE 1,25 CV - JUROS. </t>
  </si>
  <si>
    <t xml:space="preserve">GUINCHO ELÉTRICO DE COLUNA, CAPACIDADE 400 KG, COM MOTO FREIO, MOTOR TRIFÁSICO DE 1,25 CV - MANUTENÇÃO. </t>
  </si>
  <si>
    <t xml:space="preserve">GUINCHO ELÉTRICO DE COLUNA, CAPACIDADE 400 KG, COM MOTO FREIO, MOTOR TRIFÁSICO DE 1,25 CV - MATERIAIS NA OPERAÇÃO. </t>
  </si>
  <si>
    <t>93282 SINAPI MT 2018</t>
  </si>
  <si>
    <t>GUINCHO ELÉTRICO DE COLUNA, CAPACIDADE 400 KG, COM MOTO FREIO, MOTOR TRIFÁSICO DE 1,25 CV - CHI DIURNO.</t>
  </si>
  <si>
    <t>95385 SINAPI MT 05/2018</t>
  </si>
  <si>
    <t>CURSO DE CAPACITAÇÃO PARA TELHADISTA (ENCARGOS COMPLEMENTARES) - HORISTA</t>
  </si>
  <si>
    <t>TELHADOR</t>
  </si>
  <si>
    <t>95309 SINAPI MT 05/2018</t>
  </si>
  <si>
    <t>CURSO DE CAPACITAÇÃO PARA AJUDANTE DE CARPINTEIRO (ENCARGOS COMPLEMENTARES) - HORISTA</t>
  </si>
  <si>
    <t>CARPINTEIRO AUXILIAR</t>
  </si>
  <si>
    <t>95372 SINAPI MT 05/2018</t>
  </si>
  <si>
    <t>CURSO DE CAPACITAÇÃO PARA PINTOR (ENCARGOS COMPLEMENTARES) - HORISTA</t>
  </si>
  <si>
    <t>PINTOR</t>
  </si>
  <si>
    <t>95316 SINAPI MT 05/2018</t>
  </si>
  <si>
    <t>CURSO DE CAPACITAÇÃO PARA AUXILIAR DE ELETRICISTA (ENCARGOS COMPLEMENTARES) - HORISTA</t>
  </si>
  <si>
    <t>AJUDANTE DE ELETRICISTA</t>
  </si>
  <si>
    <t>95332 SINAPI MT 05/2018</t>
  </si>
  <si>
    <t>CURSO DE CAPACITAÇÃO PARA ELETRICISTA (ENCARGOS COMPLEMENTARES) - HORISTA</t>
  </si>
  <si>
    <t>ELETRICISTA</t>
  </si>
  <si>
    <t>95317 SINAPI MT 05/2018</t>
  </si>
  <si>
    <t>CURSO DE CAPACITAÇÃO PARA AUXILIAR DE ENCANADOR OU BOMBEIRO HIDRÁULICO (ENCARGOS COMPLEMENTARES) - HORISTA</t>
  </si>
  <si>
    <t>AUXILIAR DE ENCANADOR OU BOMBEIRO HIDRÁULICO</t>
  </si>
  <si>
    <t>95335 SINAPI MT 05/2018</t>
  </si>
  <si>
    <t>CURSO DE CAPACITAÇÃO PARA ENCANADOR OU BOMBEIRO HIDRÁULICO (ENCARGOS COMPLEMENTARES) - HORISTA</t>
  </si>
  <si>
    <t>ENCANADOR OU BOMBEIRO HIDRÁULICO</t>
  </si>
  <si>
    <t>Código:   91946 SINAPI MT</t>
  </si>
  <si>
    <t>Descrição:</t>
  </si>
  <si>
    <t xml:space="preserve">SUPORTE PARAFUSADO COM PLACA DE ENCAIXE 4" X 2" MÉDIO (1,30 M DO PISO) PARA PONTO ELÉTRICO - FORNECIMENTO E INSTALAÇÃO. </t>
  </si>
  <si>
    <t>UND</t>
  </si>
  <si>
    <t>38094</t>
  </si>
  <si>
    <t>ESPELHO / PLACA DE 3 POSTOS 4" X 2", PARA INSTALACAO DE TOMADAS E INTERRUPTORES</t>
  </si>
  <si>
    <t>38099</t>
  </si>
  <si>
    <t>SUPORTE DE FIXACAO PARA ESPELHO / PLACA 4" X 2", PARA 3 MODULOS, PARA INSTALACAO DE TOMADAS E INTERRUPTORES (SOMENTE SUPORTE)</t>
  </si>
  <si>
    <t>Código:   91958 SINAPI MT</t>
  </si>
  <si>
    <t xml:space="preserve">INTERRUPTOR SIMPLES (2 MÓDULOS), 10A/250V, SEM SUPORTE E SEM PLACA - FORNECIMENTO E INSTALAÇÃO. </t>
  </si>
  <si>
    <t>38112</t>
  </si>
  <si>
    <t>INTERRUPTOR SIMPLES 10A, 250V (APENAS MODULO)</t>
  </si>
  <si>
    <t>Código:   91994 SINAPI MT</t>
  </si>
  <si>
    <t xml:space="preserve">TOMADA MÉDIA DE EMBUTIR (1 MÓDULO), 2P+T 10 A, INCLUINDO SUPORTE E PLACA - FORNECIMENTO E INSTALAÇÃO. </t>
  </si>
  <si>
    <t>38101</t>
  </si>
  <si>
    <t>TOMADA 2P+T 10A, 250V  (APENAS MODULO)</t>
  </si>
  <si>
    <t>Código:   88241 SINAPI MT</t>
  </si>
  <si>
    <t>AJUDANTE DE OPERAÇÃO EM GERAL COM ENCARGOS COMPLEMENTARES</t>
  </si>
  <si>
    <t>88236</t>
  </si>
  <si>
    <t>95311</t>
  </si>
  <si>
    <t>88262 SINAPI MT 05/2018</t>
  </si>
  <si>
    <t>CURSO DE CAPACITAÇÃO PARA CARPINTEIRO (ENCARGOS COMPLEMENTARES) - HORISTA</t>
  </si>
  <si>
    <t>88316 SINAPI MT 05/2018</t>
  </si>
  <si>
    <t>88283 SINAPI MT 05/2018</t>
  </si>
  <si>
    <t>MOTORISTA DE CAMINHÃO E CARRETA COM ENCARGOS COMPLEMENTARES</t>
  </si>
  <si>
    <t xml:space="preserve">MOTORISTA DE CAMINHÃO E CARRETA </t>
  </si>
  <si>
    <t>CURSO DE CAPACITAÇÃO PARA MOTORISTA DE CAMINHÃO E CARRETA (ENCARGOS COMPLEMENTARES) - HORISTA</t>
  </si>
  <si>
    <t>88281 SINAPI MT 05/2018</t>
  </si>
  <si>
    <t xml:space="preserve">MOTORISTA DE CAMINHÃO BASCULANTE </t>
  </si>
  <si>
    <t>88309 SINAPI MT 05/2018</t>
  </si>
  <si>
    <t>88245 SINAPI MT  05/2018</t>
  </si>
  <si>
    <t>88238 SINAPI MT  05/2018</t>
  </si>
  <si>
    <t>88239 SINAPI MT  05/2018</t>
  </si>
  <si>
    <t>88310 SINAPI MT  05/2018</t>
  </si>
  <si>
    <t xml:space="preserve">ELETRICISTA </t>
  </si>
  <si>
    <t xml:space="preserve">AJUDANTE DE ELETRICISTA </t>
  </si>
  <si>
    <t>88248 SINAPI MT  05/2018</t>
  </si>
  <si>
    <t>88267 SINAPI MT  05/2018</t>
  </si>
  <si>
    <t>M2</t>
  </si>
  <si>
    <t>COMPOSIÇÕES DE PREÇO</t>
  </si>
  <si>
    <t xml:space="preserve">ARMADOR </t>
  </si>
  <si>
    <t xml:space="preserve">AJUDANTE DE ARMADOR </t>
  </si>
  <si>
    <t>Código:   74209 SINAPI</t>
  </si>
  <si>
    <t>MÊS</t>
  </si>
  <si>
    <t>LOCACAO DE CONTAINER 2,30  X  6,00 M, ALT. 2,50 M, COM 1 SANITARIO, PARA ESCRITORIO, COMPLETO, SEM DIVISORIAS INTERNAS</t>
  </si>
  <si>
    <t>SINAPI 73847/001</t>
  </si>
  <si>
    <t>PECA DE MADEIRA NATIVA/REGIONAL 2,5 X 7,0 CM (SARRAFO-P/FORMA)</t>
  </si>
  <si>
    <t>94962 SINAPI MT 2018</t>
  </si>
  <si>
    <t xml:space="preserve">CONCRETO MAGRO PARA LASTRO, TRAÇO 1:4,5:4,5 (CIMENTO/ AREIA MÉDIA/ BRITA 1)  - PREPARO MECÂNICO COM BETONEIRA 400 L. </t>
  </si>
  <si>
    <t>BETONEIRA CAPACIDADE NOMINAL DE 400 L, CAPACIDADE DE MISTURA 280 L, MOTOR ELÉTRICO TRIFÁSICO POTÊNCIA DE 2 CV, SEM CARREGADOR - CHP DIURNO. AF_10/2014</t>
  </si>
  <si>
    <t>BETONEIRA CAPACIDADE NOMINAL DE 400 L, CAPACIDADE DE MISTURA 280 L, MOTOR ELÉTRICO TRIFÁSICO POTÊNCIA DE 2 CV, SEM CARREGADOR - CHI DIURNO. AF_10/2014</t>
  </si>
  <si>
    <t>CONCRETO MAGRO PARA LASTRO, TRAÇO 1:4,5:4,5 (CIMENTO/ AREIA MÉDIA/ BRITA 1)  - PREPARO MECÂNICO COM BETONEIRA 400 L.</t>
  </si>
  <si>
    <t>Código:   97622  SINAPI</t>
  </si>
  <si>
    <t>ENCANADOR OU BOMBEIRO HIDRAULICO COM ENCARGOS COMPLEMENTARES</t>
  </si>
  <si>
    <t>88256 SINAPI MT  05/2018</t>
  </si>
  <si>
    <t>AZULEJISTA OU LADRILHISTA</t>
  </si>
  <si>
    <t>CURSO DE CAPACITAÇÃO PARA AZULEJISTA OU LADRILHISTA (ENCARGOS COMPLEMENTARES) - HORISTA</t>
  </si>
  <si>
    <t>95324 SINAPI MT 05/2018</t>
  </si>
  <si>
    <t>Código:   3R 23 13 00 00 35 20 02 11  TCPO</t>
  </si>
  <si>
    <t>Código:   86932  SINAPI</t>
  </si>
  <si>
    <t>Código:   86915  SINAPI</t>
  </si>
  <si>
    <t>Código:   86905  SINAPI</t>
  </si>
  <si>
    <t>PISOS, RODAPÉS E SOLEIRAS</t>
  </si>
  <si>
    <t>Código:   3R 23 14 00 00 39 10 01 10  TCPO</t>
  </si>
  <si>
    <t>Código:   15.002.0080-A  EMOP</t>
  </si>
  <si>
    <t>337</t>
  </si>
  <si>
    <t>ARAME RECOZIDO 18 BWG, 1,25 MM (0,01 KG/M)</t>
  </si>
  <si>
    <t>88262</t>
  </si>
  <si>
    <t>CAMINHÃO BASCULANTE 6 M3, PESO BRUTO TOTAL 16.000 KG, CARGA ÚTIL MÁXIMA 13.071 KG, DISTÂNCIA ENTRE EIXOS 4,80 M, POTÊNCIA 230 CV INCLUSIVE CAÇAMBA METÁLICA - CHI DIURNO</t>
  </si>
  <si>
    <t>4720</t>
  </si>
  <si>
    <t>PEDRA BRITADA N. 0, OU PEDRISCO (4,8 A 9,5 MM) POSTO PEDREIRA/FORNECEDOR, SEM FRETE</t>
  </si>
  <si>
    <t>88309</t>
  </si>
  <si>
    <t>91533</t>
  </si>
  <si>
    <t xml:space="preserve">COMPACTADOR DE SOLOS DE PERCUSSÃO (SOQUETE) COM MOTOR A GASOLINA 4 TEMPOS, POTÊNCIA 4 CV - CHP DIURNO. </t>
  </si>
  <si>
    <t>91534</t>
  </si>
  <si>
    <t xml:space="preserve">RASGO EM ALVENARIA PARA ELETRODUTOS COM DIAMETROS MENORES OU IGUAIS A 40 MM. </t>
  </si>
  <si>
    <t>QUEBRA EM ALVENARIA PARA INSTALAÇÃO DE CAIXA DE TOMADA (4X4 OU 4X2).</t>
  </si>
  <si>
    <t xml:space="preserve">CHUMBAMENTO LINEAR EM ALVENARIA PARA RAMAIS/DISTRIBUIÇÃO COM DIÂMETROS MENORES OU IGUAIS A 40 MM. </t>
  </si>
  <si>
    <t xml:space="preserve">ELETRODUTO FLEXÍVEL CORRUGADO, PVC, DN 20 MM (1/2"), PARA CIRCUITOS TERMINAIS, INSTALADO EM LAJE - FORNECIMENTO E INSTALAÇÃO. </t>
  </si>
  <si>
    <t xml:space="preserve">ELETRODUTO FLEXÍVEL CORRUGADO, PVC, DN 20 MM (1/2"), PARA CIRCUITOS TERMINAIS, INSTALADO EM PAREDE - FORNECIMENTO E INSTALAÇÃO. </t>
  </si>
  <si>
    <t xml:space="preserve">CABO DE COBRE FLEXÍVEL ISOLADO, 1,5 MM², ANTI-CHAMA 450/750 V, PARA CIRCUITOS TERMINAIS - FORNECIMENTO E INSTALAÇÃO. </t>
  </si>
  <si>
    <t xml:space="preserve">CABO DE COBRE FLEXÍVEL ISOLADO, 2,5 MM², ANTI-CHAMA 450/750 V, PARA CIRCUITOS TERMINAIS - FORNECIMENTO E INSTALAÇÃO. </t>
  </si>
  <si>
    <t xml:space="preserve">CAIXA OCTOGONAL 3" X 3", PVC, INSTALADA EM LAJE - FORNECIMENTO E INSTALAÇÃO. </t>
  </si>
  <si>
    <t xml:space="preserve">CAIXA RETANGULAR 4" X 2" MÉDIA (1,30 M DO PISO), PVC, INSTALADA EM PAREDE - FORNECIMENTO E INSTALAÇÃO. </t>
  </si>
  <si>
    <t>39017</t>
  </si>
  <si>
    <t>ESPACADOR / DISTANCIADOR CIRCULAR COM ENTRADA LATERAL, EM PLASTICO, PARA VERGALHAO *4,2 A 12,5* MM, COBRIMENTO 20 MM</t>
  </si>
  <si>
    <t>88245</t>
  </si>
  <si>
    <t>LASTRO DE CONCRETO MAGRO, APLICADO EM BLOCOS DE COROAMENTO OU SAPATAS.  (sapatas)</t>
  </si>
  <si>
    <t>92794</t>
  </si>
  <si>
    <t>1.4</t>
  </si>
  <si>
    <t>Demolições e Retiradas</t>
  </si>
  <si>
    <t>2.3</t>
  </si>
  <si>
    <t>CARGA MANUAL DE ENTULHO EM CAMINHAO BASCULANTE 6M3 (bota fora)</t>
  </si>
  <si>
    <t>2.3.1</t>
  </si>
  <si>
    <t>2.3.2</t>
  </si>
  <si>
    <t>2.3.4</t>
  </si>
  <si>
    <t>2.3.5</t>
  </si>
  <si>
    <t>SINAPI  74157/004</t>
  </si>
  <si>
    <t>ARMAÇÃO DE BLOCO, VIGA BALDRAME OU SAPATA UTILIZANDO AÇO CA-50 DE 8MM - MONTAGEM.   (sapatas)</t>
  </si>
  <si>
    <t xml:space="preserve">Descrição:   </t>
  </si>
  <si>
    <t xml:space="preserve">Descrição:  </t>
  </si>
  <si>
    <t xml:space="preserve">Descrição:                                         </t>
  </si>
  <si>
    <t>1.4.1</t>
  </si>
  <si>
    <t>DEMOLICAO DE ALVENARIA DE BLOCO FURADO, DE FORMA MANUAL,  SEM REAPROVEITAMENTO</t>
  </si>
  <si>
    <t>M²</t>
  </si>
  <si>
    <t>Orçamento Sintético</t>
  </si>
  <si>
    <t xml:space="preserve">Descrição: </t>
  </si>
  <si>
    <t xml:space="preserve"> LASTRO DE CONCRETO MAGRO, APLICADO EM BLOCOS DE COROAMENTO OU SAPATAS. ESPESSURA 5CM</t>
  </si>
  <si>
    <t xml:space="preserve">Descrição:    </t>
  </si>
  <si>
    <t>ARMAÇÃO DE BLOCO, VIGA BALDRAME OU SAPATA UTILIZANDO AÇO CA-50 DE 8 MM - MONTAGEM.</t>
  </si>
  <si>
    <t xml:space="preserve">92791 SINAPI MT </t>
  </si>
  <si>
    <t xml:space="preserve">92794 SINAPI MT </t>
  </si>
  <si>
    <t xml:space="preserve">92793 SINAPI MT </t>
  </si>
  <si>
    <t xml:space="preserve">95314 SINAPI MT </t>
  </si>
  <si>
    <t xml:space="preserve">CORTE E DOBRA DE AÇO CA-60, DIÂMETRO DE 5,0 MM, UTILIZADO EM ESTRUTURAS DIVERSAS, EXCETO LAJES. </t>
  </si>
  <si>
    <t>ACO CA-60,  5,0 MM, VERGALHAO</t>
  </si>
  <si>
    <t>CARPINTEIRO DE FORMAS , INCLUSIVE ENCARGOS SOCIAIS</t>
  </si>
  <si>
    <t>2692</t>
  </si>
  <si>
    <t>DESMOLDANTE PROTETOR PARA FORMAS DE MADEIRA, DE BASE OLEOSA EMULSIONADA EM AGUA</t>
  </si>
  <si>
    <t>4517</t>
  </si>
  <si>
    <t>5074</t>
  </si>
  <si>
    <t>6189</t>
  </si>
  <si>
    <t>Código:   94965 SINAPI MT</t>
  </si>
  <si>
    <t>88830</t>
  </si>
  <si>
    <t>BETONEIRA CAPACIDADE NOMINAL DE 400 L, CAPACIDADE DE MISTURA 280 L, MOTOR ELÉTRICO TRIFÁSICO POTÊNCIA DE 2 CV, SEM CARREGADOR - CHP DIURNO.</t>
  </si>
  <si>
    <t>BETONEIRA CAPACIDADE NOMINAL DE 400 L, CAPACIDADE DE MISTURA 280 L, MOTOR ELÉTRICO TRIFÁSICO POTÊNCIA DE 2 CV, SEM CARREGADOR - CHI DIURNO.</t>
  </si>
  <si>
    <t xml:space="preserve">CONCRETO FCK = 25MPa, TRAÇO 1:2,3:2,7 (CIMENTO/ AREIA MÉDIA/ BRITA 1)  - PREPARO MECÂNICO COM BETONEIRA 400 L. </t>
  </si>
  <si>
    <t>Código:   74157/004 SINAPI MT</t>
  </si>
  <si>
    <t>90586</t>
  </si>
  <si>
    <t xml:space="preserve">VIBRADOR DE IMERSÃO, DIÂMETRO DE PONTEIRA 45MM, MOTOR ELÉTRICO TRIFÁSICO POTÊNCIA DE 2CV - CHP DIURNO. </t>
  </si>
  <si>
    <t>90586 SINAPI MT 2018</t>
  </si>
  <si>
    <t xml:space="preserve">VIBRADOR DE IMERSÃO, DIÂMETRO DE PONTEIRA 45MM, MOTOR ELÉTRICO TRIFÁSICO POTÊNCIA DE 2 CV - CHP DIURNO. </t>
  </si>
  <si>
    <t>90582</t>
  </si>
  <si>
    <t xml:space="preserve">VIBRADOR DE IMERSÃO, DIÂMETRO DE PONTEIRA 45MM, MOTOR ELÉTRICO TRIFÁSICO POTÊNCIA DE 2 CV - DEPRECIAÇÃO. </t>
  </si>
  <si>
    <t>90583</t>
  </si>
  <si>
    <t xml:space="preserve">VIBRADOR DE IMERSÃO, DIÂMETRO DE PONTEIRA 45MM, MOTOR ELÉTRICO TRIFÁSICO POTÊNCIA DE 2 CV - JUROS. </t>
  </si>
  <si>
    <t>90584</t>
  </si>
  <si>
    <t xml:space="preserve">VIBRADOR DE IMERSÃO, DIÂMETRO DE PONTEIRA 45MM, MOTOR ELÉTRICO TRIFÁSICO POTÊNCIA DE 2 CV - MANUTENÇÃO. </t>
  </si>
  <si>
    <t>90585</t>
  </si>
  <si>
    <t xml:space="preserve">VIBRADOR DE IMERSÃO, DIÂMETRO DE PONTEIRA 45MM, MOTOR ELÉTRICO TRIFÁSICO POTÊNCIA DE 2 CV - MATERIAIS NA OPERAÇÃO. </t>
  </si>
  <si>
    <t>90582 SINAPI MT 2018</t>
  </si>
  <si>
    <t>13896</t>
  </si>
  <si>
    <t>VIBRADOR DE IMERSAO, DIAMETRO DA PONTEIRA DE *45* MM, COM MOTOR ELETRICO TRIFASICO DE 2 HP (2 CV)</t>
  </si>
  <si>
    <t>90583 SINAPI MT 2018</t>
  </si>
  <si>
    <t>VIBRADOR DE IMERSÃO, DIÂMETRO DE PONTEIRA 45MM, MOTOR ELÉTRICO TRIFÁSICO POTÊNCIA DE 2 CV - JUROS</t>
  </si>
  <si>
    <t>90584 SINAPI MT 2018</t>
  </si>
  <si>
    <t>90585 SINAPI MT 2018</t>
  </si>
  <si>
    <t>Código:   90447 SINAPI MT</t>
  </si>
  <si>
    <t>RASGO EM ALVENARIA PARA ELETRODUTOS COM DIAMETROS MENORES OU IGUAIS A 40 MM.</t>
  </si>
  <si>
    <t>Código:   90456 SINAPI MT</t>
  </si>
  <si>
    <t>Código:   90466 SINAPI MT</t>
  </si>
  <si>
    <t xml:space="preserve">ARGAMASSA TRAÇO 1:3 (CIMENTO E AREIA MÉDIA), PREPARO MANUAL. </t>
  </si>
  <si>
    <t>Código:   88629 SINAPI MT</t>
  </si>
  <si>
    <t>ARGAMASSA TRAÇO 1:3 (CIMENTO E AREIA MÉDIA), PREPARO MANUAL.</t>
  </si>
  <si>
    <t>SERVENTE ENCARGOS COMPLEMENTARES</t>
  </si>
  <si>
    <t>Código:   91842 SINAPI MT</t>
  </si>
  <si>
    <t>2689</t>
  </si>
  <si>
    <t>ELETRODUTO PVC FLEXIVEL CORRUGADO, COR AMARELA, DE 20 MM</t>
  </si>
  <si>
    <t>34562</t>
  </si>
  <si>
    <t>ARAME RECOZIDO 16 BWG, 1,60 MM (0,016 KG/M)</t>
  </si>
  <si>
    <t>Código:   91852 SINAPI MT</t>
  </si>
  <si>
    <t>Código:   91924 SINAPI MT</t>
  </si>
  <si>
    <t>983</t>
  </si>
  <si>
    <t>CABO DE COBRE, RIGIDO, CLASSE 2, ISOLACAO EM PVC/A, ANTICHAMA BWF-B, 1 CONDUTOR, 450/750 V, SECAO NOMINAL 1,5 MM2</t>
  </si>
  <si>
    <t>Código:   91926 SINAPI MT</t>
  </si>
  <si>
    <t>CABO DE COBRE, FLEXIVEL, CLASSE 4 OU 5, ISOLACAO EM PVC/A, ANTICHAMA BWF-B, 1 CONDUTOR, 450/750 V, SECAO NOMINAL 2,5 MM2</t>
  </si>
  <si>
    <t>Código:   91937 SINAPI MT</t>
  </si>
  <si>
    <t>1871</t>
  </si>
  <si>
    <t>CAIXA OCTOGONAL DE FUNDO MOVEL, EM PVC, DE 3" X 3", PARA ELETRODUTO FLEXIVEL CORRUGADO</t>
  </si>
  <si>
    <t>Código:   91940 SINAPI MT</t>
  </si>
  <si>
    <t>1872</t>
  </si>
  <si>
    <t>CAIXA DE PASSAGEM, EM PVC, DE 4" X 2", PARA ELETRODUTO FLEXIVEL CORRUGADO</t>
  </si>
  <si>
    <t>SUPORTE PARAFUSADO COM PLACA DE ENCAIXE 4" X 2" MÉDIO (1,30 M DO PISO) PARA PONTO ELÉTRICO - FORNECIMENTO E INSTALAÇÃO.</t>
  </si>
  <si>
    <t xml:space="preserve">Código:   93141 SINAPI </t>
  </si>
  <si>
    <t xml:space="preserve">PONTO DE TOMADA RESIDENCIAL INCLUINDO TOMADA 10A/250V, CAIXA ELÉTRICA, ELETRODUTO, CABO, RASGO, QUEBRA E CHUMBAMENTO. </t>
  </si>
  <si>
    <t>TOMADA MÉDIA DE EMBUTIR (1 MÓDULO), 2P+T 10 A, INCLUINDO SUPORTE E PLACA - FORNECIMENTO E INSTALAÇÃO.</t>
  </si>
  <si>
    <t>Código:   91996 SINAPI MT</t>
  </si>
  <si>
    <t xml:space="preserve">TOMADA MÉDIA DE EMBUTIR (1 MÓDULO), 2P+T 10A, INCLUINDO SUPORTE E PLACA - FORNECIMENTO E INSTALAÇÃO. </t>
  </si>
  <si>
    <t>91946</t>
  </si>
  <si>
    <t>91994</t>
  </si>
  <si>
    <t>TOMADA MÉDIA DE EMBUTIR (1 MÓDULO), 2P+T 10 A, SEM SUPORTE E SEM PLACA - FORNECIMENTO E INSTALAÇÃO.</t>
  </si>
  <si>
    <t xml:space="preserve"> PONTO DE CONSUMO TERMINAL DE ÁGUA FRIA (SUBRAMAL) COM TUBULAÇÃO DE PVC, DN 25 MM, INSTALADO EM RAMAL DE ÁGUA, INCLUSOS RASGO E CHUMBAMENTO EM ALVENARIA.</t>
  </si>
  <si>
    <t>Código:   89957  SINAPI</t>
  </si>
  <si>
    <t xml:space="preserve">Código:   93143 SINAPI </t>
  </si>
  <si>
    <t xml:space="preserve">PONTO DE TOMADA RESIDENCIAL INCLUINDO TOMADA 20A/250V, CAIXA ELÉTRICA, ELETRODUTO, CABO, RASGO, QUEBRA E CHUMBAMENTO. </t>
  </si>
  <si>
    <t>TOMADA MÉDIA DE EMBUTIR (1 MÓDULO), 2P+T 20A, INCLUINDO SUPORTE E PLACA - FORNECIMENTO E INSTALAÇÃO.</t>
  </si>
  <si>
    <t>Código:   91997 SINAPI MT</t>
  </si>
  <si>
    <t xml:space="preserve">TOMADA MÉDIA DE EMBUTIR (1 MÓDULO), 2P+T 20A, INCLUINDO SUPORTE E PLACA - FORNECIMENTO E INSTALAÇÃO. </t>
  </si>
  <si>
    <t>TOMADA MÉDIA DE EMBUTIR (1 MÓDULO), 2P+T 20 A, SEM SUPORTE E SEM PLACA - FORNECIMENTO E INSTALAÇÃO.</t>
  </si>
  <si>
    <t>Código:   91995 SINAPI MT</t>
  </si>
  <si>
    <t>TOMADA MÉDIA DE EMBUTIR (1 MÓDULO), 2P+T 20 A, SEM SUPORTE E SEM PLACA - FORNECIMENTO E INSTALAÇÃO. AF_12/2015</t>
  </si>
  <si>
    <t>38102</t>
  </si>
  <si>
    <t>TOMADA 2P+T 20A, 250V  (APENAS MODULO)</t>
  </si>
  <si>
    <t xml:space="preserve">Código:   93128 SINAPI </t>
  </si>
  <si>
    <t xml:space="preserve">PONTO DE ILUMINAÇÃO RESIDENCIAL INCLUINDO INTERRUPTOR SIMPLES, CAIXA ELÉTRICA, ELETRODUTO, CABO, RASGO, QUEBRA E CHUMBAMENTO (EXCLUINDO LUMINÁRIA E LÂMPADA). </t>
  </si>
  <si>
    <t xml:space="preserve">INTERRUPTOR SIMPLES (1 MÓDULO), 10A/250V, INCLUINDO SUPORTE E PLACA - FORNECIMENTO E INSTALAÇÃO. </t>
  </si>
  <si>
    <t>Código:   91953 SINAPI MT</t>
  </si>
  <si>
    <t xml:space="preserve">INTERRUPTOR SIMPLES (1 MÓDULO), 10A/250V, SEM SUPORTE E SEM PLACA - FORNECIMENTO E INSTALAÇÃO. </t>
  </si>
  <si>
    <t>Código:   91952 SINAPI MT</t>
  </si>
  <si>
    <t>INTERRUPTOR SIMPLES (1 MÓDULO), 10A/250V, SEM SUPORTE E SEM PLACA - FORNECIMENTO E INSTALAÇÃO.</t>
  </si>
  <si>
    <t>Código:   97593</t>
  </si>
  <si>
    <t xml:space="preserve">LUMINÁRIA TIPO SPOT, DE SOBREPOR, COM 1 LÂMPADA DE 15 W - FORNECIMENTO E INSTALAÇÃO. </t>
  </si>
  <si>
    <t>12266</t>
  </si>
  <si>
    <t>LUMINARIA SPOT DE SOBREPOR EM ALUMINIO COM ALETA PLASTICA PARA 1 LAMPADA, BASE E27, POTENCIA MAXIMA 40/60 W (NAO INCLUI LAMPADA)</t>
  </si>
  <si>
    <t>SINAPI 97592</t>
  </si>
  <si>
    <t xml:space="preserve">LUMINÁRIA TIPO PLAFON, DE SOBREPOR, COM 1 LÂMPADA LED - FORNECIMENTO E INSTALAÇÃO. </t>
  </si>
  <si>
    <t>Código:   97592</t>
  </si>
  <si>
    <t>LUMINARIA LED PLAFON REDONDO DE SOBREPOR BIVOLT 12/13 W,  D = *17* CM</t>
  </si>
  <si>
    <t xml:space="preserve">PONTO DE CONSUMO TERMINAL DE ÁGUA FRIA (SUBRAMAL) COM TUBULAÇÃO DE PVC, DN 25 MM, INSTALADO EM RAMAL DE ÁGUA, INCLUSOS RASGO E CHUMBAMENTO EM ALVENARIA. </t>
  </si>
  <si>
    <t xml:space="preserve">TUBO, PVC, SOLDÁVEL, DN 25MM, INSTALADO EM RAMAL OU SUB-RAMAL DE ÁGUA - FORNECIMENTO E INSTALAÇÃO. </t>
  </si>
  <si>
    <t xml:space="preserve">JOELHO 90 GRAUS, PVC, SOLDÁVEL, DN 25MM, INSTALADO EM RAMAL OU SUB-RAMAL DE ÁGUA - FORNECIMENTO E INSTALAÇÃO. </t>
  </si>
  <si>
    <t xml:space="preserve">JOELHO 90 GRAUS COM BUCHA DE LATÃO, PVC, SOLDÁVEL, DN 25MM, X 3/4? INSTALADO EM RAMAL OU SUB-RAMAL DE ÁGUA - FORNECIMENTO E INSTALAÇÃO. </t>
  </si>
  <si>
    <t xml:space="preserve">TE, PVC, SOLDÁVEL, DN 25MM, INSTALADO EM RAMAL OU SUB-RAMAL DE ÁGUA - FORNECIMENTO E INSTALAÇÃO. </t>
  </si>
  <si>
    <t xml:space="preserve">RASGO EM ALVENARIA PARA RAMAIS/ DISTRIBUIÇÃO COM DIAMETROS MENORES OU IGUAIS A 40 MM. </t>
  </si>
  <si>
    <t>9868</t>
  </si>
  <si>
    <t>TUBO PVC, SOLDAVEL, DN 25 MM, AGUA FRIA (NBR-5648)</t>
  </si>
  <si>
    <t>LIXA D'AGUA EM FOLHA, GRAO 100</t>
  </si>
  <si>
    <t>Código:  89356 SINAPI MT</t>
  </si>
  <si>
    <t>Código:  89362  SINAPI MT</t>
  </si>
  <si>
    <t>3529</t>
  </si>
  <si>
    <t>JOELHO PVC, SOLDAVEL, 90 GRAUS, 25 MM, PARA AGUA FRIA PREDIAL</t>
  </si>
  <si>
    <t>Código:  89366  SINAPI MT</t>
  </si>
  <si>
    <t xml:space="preserve">JOELHO 90 GRAUS COM BUCHA DE LATÃO, PVC, SOLDÁVEL, DN 25MM, X 3/4 INSTALADO EM RAMAL OU SUB-RAMAL DE ÁGUA - FORNECIMENTO E INSTALAÇÃO. </t>
  </si>
  <si>
    <t>JOELHO PVC, SOLDAVEL, COM BUCHA DE LATAO, 90 GRAUS, 25 MM X 3/4", PARA AGUA FRIA PREDIAL</t>
  </si>
  <si>
    <t>Código:  89395  SINAPI MT</t>
  </si>
  <si>
    <t>7139</t>
  </si>
  <si>
    <t>TE SOLDAVEL, PVC, 90 GRAUS, 25 MM, PARA AGUA FRIA PREDIAL (NBR 5648)</t>
  </si>
  <si>
    <t>Código:   90443 SINAPI MT</t>
  </si>
  <si>
    <t>REGISTRO GAVETA BRUTO EM LATAO FORJADO, BITOLA 1 " (REF 1509)</t>
  </si>
  <si>
    <t>REGISTRO GAVETA BRUTO EM LATAO FORJADO, BITOLA 1 1/2 " (REF 1509)</t>
  </si>
  <si>
    <t>ADESIVO PLASTICO PARA PVC, BISNAGA COM 75 GR</t>
  </si>
  <si>
    <t>TUBO PVC, SOLDAVEL, DN 32 MM, AGUA FRIA (NBR-5648) 6,00M</t>
  </si>
  <si>
    <t>TUBO PVC, SOLDAVEL, DN 50 MM, PARA AGUA FRIA (NBR-5648) 6,00M</t>
  </si>
  <si>
    <t>ADAPTADOR PVC SOLDAVEL, COM FLANGES LIVRES, 50 MM X 1  1/2", PARA CAIXA D' AGUA</t>
  </si>
  <si>
    <t>TE SOLDAVEL, PVC, 90 GRAUS, 32 MM, PARA AGUA FRIA PREDIAL (NBR 5648)</t>
  </si>
  <si>
    <t>JOELHO PVC, SOLDAVEL, 90 GRAUS, 50 MM, PARA AGUA FRIA PREDIAL</t>
  </si>
  <si>
    <t>JOELHO PVC, SOLDAVEL, 90 GRAUS, 32 MM, PARA AGUA FRIA PREDIAL</t>
  </si>
  <si>
    <t>ADAPTADOR PVC SOLDAVEL CURTO COM BOLSA E ROSCA, 50 MM X1 1/2", PARA AGUA FRIA</t>
  </si>
  <si>
    <t>ADAPTADOR PVC SOLDAVEL CURTO COM BOLSA E ROSCA, 32 MM X 1", PARA AGUA FRIA</t>
  </si>
  <si>
    <t>ADAPTADOR PVC SOLDAVEL, COM FLANGES LIVRES, 32 MM X 1", PARA CAIXA D' AGUA</t>
  </si>
  <si>
    <t>TE DE REDUCAO, PVC, SOLDAVEL, 90 GRAUS, 50 MM X 32 MM, PARA AGUA FRIA PREDIAL</t>
  </si>
  <si>
    <t xml:space="preserve"> ALÇA PARA BARRILETE DE DISTRIBUICAO, DO TIPO CONCENTRADO, SOBALCA PARA BARRILETE DE DISTRIBUICAO, DO TIPO CONCENTRADO, SOBRESERVATORIO DUPLO, INCLUSIVE RAMAIS PARA EXTRAVASOR E LIMPEZA COMPREENDENDO: 5,50M DE TUBO DE PVC 50MM, REGISTROS E CONEXOES. FORNECIMENTO E INSTALAÇÃO</t>
  </si>
  <si>
    <t>CONCRETO MAGRO PARA LASTRO, TRAÇO 1:4,5:4,5 (CIMENTO/ AREIA MÉDIA/ BRITA 1)  - PREPARO MECÂNICO COM BETONEIRA 600 L.</t>
  </si>
  <si>
    <t>LASTRO COM PREPARO DE FUNDO, LARGURA MAIOR OU IGUAL A 1,5 M, COM CAMADA DE BRITA, LANÇAMENTO MANUAL, EM LOCAL COM NÍVEL BAIXO DE INTERFERÊNCIA.</t>
  </si>
  <si>
    <t>PLACA DE OBRA EM CHAPA DE AÇO GALVANIZADO</t>
  </si>
  <si>
    <t>REATERRO MANUAL APILOADO COM SOQUETE</t>
  </si>
  <si>
    <t>CARGA MANUAL DE ENTULHO EM CAMINHÃO BASCULANTE 6M3</t>
  </si>
  <si>
    <t xml:space="preserve">VASO SANITÁRIO SIFONADO COM CAIXA ACOPLADA LOUÇA BRANCA - FORNECIMENTO E INSTALAÇÃO. </t>
  </si>
  <si>
    <t xml:space="preserve">ENGATE FLEXÍVEL EM INOX, 1/2" X 40CM - FORNECIMENTO E INSTALAÇÃO. </t>
  </si>
  <si>
    <t>VASO SANITÁRIO SIFONADO COM CAIXA ACOPLADA LOUÇA BRANCA - PADRÃO MÉDIO, INCLUSO ENGATE FLEXÍVEL EM METAL CROMADO, 1/2? X 40CM - FORNECIMENTO E INSTALAÇÃO.</t>
  </si>
  <si>
    <t>4774</t>
  </si>
  <si>
    <t>SOLDA TOPO DESCENDENTE CHANFRADA ESPESSURA=1/4" CHAPA/PERFIL/TUBO ACO COM CONVERSOR DIESEL.</t>
  </si>
  <si>
    <t>SERRALHEIRO COM ENCARGOS COMPLEMENTARES</t>
  </si>
  <si>
    <t>88315  SINAPI MT  05/2018</t>
  </si>
  <si>
    <t xml:space="preserve">SERRALHEIRO </t>
  </si>
  <si>
    <t>CURSO DE CAPACITAÇÃO PARA SERRALHEIRO (ENCARGOS COMPLEMENTARES) - HORISTA</t>
  </si>
  <si>
    <t>95377 SINAPI MT 05/2018</t>
  </si>
  <si>
    <t>SERRALHEIRO</t>
  </si>
  <si>
    <t>6391 SINAPI MT 2018</t>
  </si>
  <si>
    <t>10999</t>
  </si>
  <si>
    <t>ELETRODO REVESTIDO AWS - E6013, DIAMETRO IGUAL A 4,00 MM</t>
  </si>
  <si>
    <t>83765</t>
  </si>
  <si>
    <t>83766</t>
  </si>
  <si>
    <t>88317</t>
  </si>
  <si>
    <t>SOLDADOR COM ENCARGOS COMPLEMENTARES</t>
  </si>
  <si>
    <t xml:space="preserve">GRUPO DE SOLDAGEM COM GERADOR A DIESEL 60 CV PARA SOLDA ELÉTRICA, SOBRE 04 RODAS, COM MOTOR 4 CILINDROS 600 A - CHP DIURNO. </t>
  </si>
  <si>
    <t>GRUPO DE SOLDAGEM COM GERADOR A DIESEL 60 CV PARA SOLDA ELÉTRICA, SOBRE 04 RODAS, COM MOTOR 4 CILINDROS 600 A - CHI DIURNO.</t>
  </si>
  <si>
    <t>83765 SINAPI MT 2018</t>
  </si>
  <si>
    <t>GRUPO DE SOLDAGEM COM GERADOR A DIESEL 60 CV PARA SOLDA ELÉTRICA, SOBRE 04 RODAS, COM MOTOR 4 CILINDROS 600 A - CHP DIURNO.</t>
  </si>
  <si>
    <t>83761</t>
  </si>
  <si>
    <t>83762</t>
  </si>
  <si>
    <t>83763</t>
  </si>
  <si>
    <t>83764</t>
  </si>
  <si>
    <t xml:space="preserve">GRUPO DE SOLDAGEM COM GERADOR A DIESEL 60 CV PARA SOLDA ELÉTRICA, SOBRE 04 RODAS, COM MOTOR 4 CILINDROS 600 A - DEPRECIAÇÃO. </t>
  </si>
  <si>
    <t>GRUPO DE SOLDAGEM COM GERADOR A DIESEL 60 CV PARA SOLDA ELÉTRICA, SOBRE 04 RODAS, COM MOTOR 4 CILINDROS 600 A - MANUTENÇÃO.</t>
  </si>
  <si>
    <t xml:space="preserve">GRUPO DE SOLDAGEM COM GERADOR A DIESEL 60 CV PARA SOLDA ELÉTRICA, SOBRE 04 RODAS, COM MOTOR 4 CILINDROS 600 A - MATERIAIS NA OPERAÇÃO. </t>
  </si>
  <si>
    <t xml:space="preserve">GRUPO DE SOLDAGEM COM GERADOR A DIESEL 60 CV PARA SOLDA ELÉTRICA, SOBRE 04 RODAS, COM MOTOR 4 CILINDROS 600 A - JUROS. </t>
  </si>
  <si>
    <t>83766 SINAPI MT 2018</t>
  </si>
  <si>
    <t xml:space="preserve">SOLDADOR </t>
  </si>
  <si>
    <t>CURSO DE CAPACITAÇÃO PARA SOLDADOR (ENCARGOS COMPLEMENTARES) - HORISTA</t>
  </si>
  <si>
    <t>SOLDADOR</t>
  </si>
  <si>
    <t>95379 SINAPI MT 05/2018</t>
  </si>
  <si>
    <t>83761 SINAPI MT 2018</t>
  </si>
  <si>
    <t>13333</t>
  </si>
  <si>
    <t>GRUPO DE SOLDAGEM C/ GERADOR A DIESEL 60 CV PARA SOLDA ELETRICA, SOBRE 04 RODAS, COM MOTOR 4 CILINDROS</t>
  </si>
  <si>
    <t>83762 SINAPI MT 2018</t>
  </si>
  <si>
    <t xml:space="preserve">GRUPO DE SOLDAGEM COM GERADOR A DIESEL 60 CV PARA SOLDA ELÉTRICA, SOBRE 04 RODAS, COM MOTOR 4 CILINDROS 600 A - MANUTENÇÃO. </t>
  </si>
  <si>
    <t>83763 SINAPI MT 2018</t>
  </si>
  <si>
    <t>OLEO DIESEL COMBUSTIVEL COMUM</t>
  </si>
  <si>
    <t>83764 SINAPI MT 2018</t>
  </si>
  <si>
    <t>73970/001     SINAPI</t>
  </si>
  <si>
    <t xml:space="preserve">Unid        </t>
  </si>
  <si>
    <t>QUANTIDADE</t>
  </si>
  <si>
    <t>MOD 1</t>
  </si>
  <si>
    <t>MOD 2</t>
  </si>
  <si>
    <t>MOD 3</t>
  </si>
  <si>
    <t>MOD 4</t>
  </si>
  <si>
    <t>MOD 5</t>
  </si>
  <si>
    <t>MOD 6</t>
  </si>
  <si>
    <t>MOD 7</t>
  </si>
  <si>
    <t>MOD 8</t>
  </si>
  <si>
    <t>QTDE</t>
  </si>
  <si>
    <t>CARPINTEIRO COM ENCARGOS COMPLEMENTARES</t>
  </si>
  <si>
    <t>Código:   409499  CDHU SP</t>
  </si>
  <si>
    <t xml:space="preserve">DECK DE MADEIRA COM TABUAS 15X5CM APARELHADAS EXCETO VIGAS/BARROTES PARA APOIO </t>
  </si>
  <si>
    <t>Código:  86887 SINAPI MT</t>
  </si>
  <si>
    <t>ENGATE FLEXÍVEL EM INOX, 1/2 X 40CM - FORNECIMENTO E INSTALAÇÃO.</t>
  </si>
  <si>
    <t>11684</t>
  </si>
  <si>
    <t>ENGATE / RABICHO FLEXIVEL INOX 1/2 " X 40 CM</t>
  </si>
  <si>
    <t>Código:  86888 SINAPI MT</t>
  </si>
  <si>
    <t>4384</t>
  </si>
  <si>
    <t>PARAFUSO NIQUELADO COM ACABAMENTO CROMADO PARA FIXAR PECA SANITARIA, INCLUI PORCA CEGA, ARRUELA E BUCHA DE NYLON TAMANHO S-10</t>
  </si>
  <si>
    <t>6138</t>
  </si>
  <si>
    <t>10422</t>
  </si>
  <si>
    <t>BACIA SANITARIA (VASO) COM CAIXA ACOPLADA, DE LOUCA BRANCA</t>
  </si>
  <si>
    <t>VEDAÇÃO PVC, 100 MM, PARA SAIDA VASO SANITARIO</t>
  </si>
  <si>
    <t xml:space="preserve">VASO SANITARIO SIFONADO CONVENCIONAL COM LOUÇA BRANCA, INCLUSO CONJUNTO DE LIGAÇÃO PARA BACIA SANITÁRIA AJUSTÁVEL - FORNECIMENTO E INSTALAÇÃO. </t>
  </si>
  <si>
    <t>CONJUNTO DE LIGACAO PARA BACIA SANITARIA AJUSTAVEL, EM PLASTICO BRANCO, COM TUBO, CANOPLA E ESPUDE</t>
  </si>
  <si>
    <t xml:space="preserve">VASO SANITARIO SIFONADO CONVENCIONAL COM  LOUÇA BRANCA - FORNECIMENTO E INSTALAÇÃO. </t>
  </si>
  <si>
    <t>Código:  95469 SINAPI MT</t>
  </si>
  <si>
    <t>VASO SANITARIO SIFONADO CONVENCIONAL COM  LOUÇA BRANCA - FORNECIMENTO E INSTALAÇÃO.</t>
  </si>
  <si>
    <t>BACIA SANITARIA (VASO) CONVENCIONAL DE LOUCA BRANCA</t>
  </si>
  <si>
    <t>MOD 9</t>
  </si>
  <si>
    <t xml:space="preserve">Preço Total      </t>
  </si>
  <si>
    <t xml:space="preserve">92795 SINAPI MT </t>
  </si>
  <si>
    <t xml:space="preserve">CORTE E DOBRA DE AÇO CA-50, DIÂMETRO DE 12,5 MM, UTILIZADO EM ESTRUTURAS DIVERSAS, EXCETO LAJES. </t>
  </si>
  <si>
    <t>ACO CA-50, 12,5 MM, VERGALHAO</t>
  </si>
  <si>
    <t>SINAPI  79473</t>
  </si>
  <si>
    <t>Locação</t>
  </si>
  <si>
    <t xml:space="preserve">EXECUÇÃO DE PASSEIO (CALÇADA) OU PISO DE CONCRETO COM CONCRETO MOLDADO IN LOCO, FEITO EM OBRA, ACABAMENTO CONVENCIONAL, ESPESSURA 6CM, ARMADO. </t>
  </si>
  <si>
    <t>Código:   94992 SINAPI MT</t>
  </si>
  <si>
    <t>3777</t>
  </si>
  <si>
    <t>LONA PLASTICA PRETA, E= 150 MICRA</t>
  </si>
  <si>
    <t>TELA DE ACO SOLDADA NERVURADA, CA-60, Q-196, (3,11 KG/M2), DIAMETRO DO FIO = 5,0 MM, LARGURA =  2,45 M, ESPACAMENTO DA MALHA = 10 X 10 CM</t>
  </si>
  <si>
    <t xml:space="preserve">CONCRETO FCK = 20MPA, TRAÇO 1:2,7:3 (CIMENTO/ AREIA MÉDIA/ BRITA 1)  - PREPARO MECÂNICO COM BETONEIRA 400 L. </t>
  </si>
  <si>
    <t>94964 SINAPI MT 2018</t>
  </si>
  <si>
    <t>CONCRETO FCK = 20MPA, TRAÇO 1:2,7:3 (CIMENTO/ AREIA MÉDIA/ BRITA 1)  - PREPARO MECÂNICO COM BETONEIRA 400 L.</t>
  </si>
  <si>
    <t>IMPERMEABILIZADOR COM ENCARGOS COMPLEMENTARES</t>
  </si>
  <si>
    <t>IMPERMEABILIZADOR</t>
  </si>
  <si>
    <t>CURSO DE CAPACITAÇÃO PARA IMPERMEABILIZADOR (ENCARGOS COMPLEMENTARES) - HORISTA</t>
  </si>
  <si>
    <t>95338 SINAPI MT 05/2018</t>
  </si>
  <si>
    <t>SINAPI  94992</t>
  </si>
  <si>
    <t>und</t>
  </si>
  <si>
    <t>SINAPI  74234/001</t>
  </si>
  <si>
    <t>MICTORIO SIFONADO DE LOUCA BRANCA COM PERTENCES, COM REGISTRO DE PRESSAO 1/2" COM CANOPLA CROMADA ACABAMENTO SIMPLES E CONJUNTO PARA FIXACAO  - FORNECIMENTO E INSTALACAO</t>
  </si>
  <si>
    <t>SINAPI  86919</t>
  </si>
  <si>
    <t>TANQUE DE LOUÇA BRANCA COM COLUNA, 30L OU EQUIVALENTE, INCLUSO SIFÃO FLEXÍVEL EM PVC, VÁLVULA METÁLICA E TORNEIRA DE METAL CROMADO PADRÃO MÉDIO - FORNECIMENTO E INSTALAÇÃO.</t>
  </si>
  <si>
    <t>SINAPI  95547</t>
  </si>
  <si>
    <t>SABONETEIRA PLASTICA TIPO DISPENSER PARA SABONETE LIQUIDO COM RESERVATORIO 800 A 1500 ML, INCLUSO FIXAÇÃO.</t>
  </si>
  <si>
    <t>SINAPI  40729</t>
  </si>
  <si>
    <t>VALVULA DESCARGA 1.1/2" COM REGISTRO, ACABAMENTO EM METAL CROMADO - FORNECIMENTO E INSTALACAO</t>
  </si>
  <si>
    <t>SINAPI  89973</t>
  </si>
  <si>
    <t>18.016.0108-0  EMOP</t>
  </si>
  <si>
    <t>18.016.0106-0   EMOP</t>
  </si>
  <si>
    <t>18.016.0105-0   EMOP</t>
  </si>
  <si>
    <t>BARRA DE APOIO 70CM EM ACO INOXIDAVEL AISI 304, TUBO DE 1 1/4", INCLUSIVE FIXACAO COM PARAFUSOS INOXIDAVEIS E BUCHAS PLASTICAS, PARA PESSOAS COM NECESSIDADES ESPECIFICAS. FORNECIMENTO E COLOCACAO  (mictório)</t>
  </si>
  <si>
    <t>18.016.0140-0  EMOP</t>
  </si>
  <si>
    <t>Código:   3R 23 42 40 00 00 00 05 29   TCPO</t>
  </si>
  <si>
    <t xml:space="preserve">DUCHA MANUAL - FORNECIMENTO E INSTALAÇÃO. </t>
  </si>
  <si>
    <t>GRANITO PARA BANCADA, POLIDO, TIPO ANDORINHA/ QUARTZ/ CASTELO/ CORUMBA OU OUTROS EQUIVALENTES DA REGIAO,  E=2,5 CM</t>
  </si>
  <si>
    <t>MARMORISTA/GRANITEIRO</t>
  </si>
  <si>
    <t>CURSO DE CAPACITAÇÃO PARA MARMORISTA/GRANITEIRO (ENCARGOS COMPLEMENTARES) - HORISTA</t>
  </si>
  <si>
    <t>95341 SINAPI MT 05/2018</t>
  </si>
  <si>
    <t>50x60</t>
  </si>
  <si>
    <t>coefic da comp</t>
  </si>
  <si>
    <t>propria</t>
  </si>
  <si>
    <t xml:space="preserve">LAVATÓRIO LOUÇA BRANCA SUSPENSO, 29,5 X 39CM OU EQUIVALENTE, PADRÃO POPULAR, INCLUSO SIFÃO FLEXÍVEL EM PVC, VÁLVULA E ENGATE FLEXÍVEL 30CM EM PLÁSTICO E TORNEIRA CROMADA DE MESA, PADRÃO POPULAR - FORNECIMENTO E INSTALAÇÃO. </t>
  </si>
  <si>
    <t xml:space="preserve">TORNEIRA CROMADA DE MESA, 1/2" OU 3/4", PARA LAVATÓRIO, PADRÃO MÉDIO - FORNECIMENTO E INSTALAÇÃO. </t>
  </si>
  <si>
    <t>TORNEIRA CROMADA DE MESA PARA LAVATORIO TEMPORIZADA PRESSAO BICA BAIXA</t>
  </si>
  <si>
    <t>TORNEIRA CROMADA DE MESA, 1/2" OU 3/4", PARA LAVATÓRIO. FORNECIMENTO E INSTALAÇÃO. (torneira com sensor de presença - PNE)</t>
  </si>
  <si>
    <t>TORNEIRA CROMADA DE MESA PARA LAVATORIO COM SENSOR DE PRESENCA</t>
  </si>
  <si>
    <t>88264</t>
  </si>
  <si>
    <t>VÁLVULA DE DESCARGA COM SENSOR ELETRÔNICO (banheiro PNE)</t>
  </si>
  <si>
    <t>KIT DE MISTURADOR BASE BRUTA DE LATÃO ¾" MONOCOMANDO PARA CHUVEIRO, INCLUSIVE CONEXÕES, INSTALADO EM RAMAL DE ÁGUA - FORNECIMENTO E INSTALAÇÃO. (banheiro PNE)</t>
  </si>
  <si>
    <t>BARRA DE APOIO 80CM EM ACO INOXIDAVEL AISI 304, TUBO DE 1.1/4", INCLUSIVE FIXACAO COM PARAFUSOS INOXIDAVEIS E BUCHAS PLASTICAS, PARA PESSOAS COM NECESSIDADES ESPECIFICAS. FORNECIMENTO E COLOCACAO   (chuveiro e vaso - banheiro PNE)</t>
  </si>
  <si>
    <t>Equipamentos para Cozinha</t>
  </si>
  <si>
    <t>Limpeza</t>
  </si>
  <si>
    <t>BANCADA EM AÇO INOX ESCOVADO COM ESPELHO, ESTRADO E 2 CUBAS  1850X700X900MM</t>
  </si>
  <si>
    <t>BANCADA EM AÇO INOX ESCOVADO COM ESPELHO, ESTRADO RIPADO  2200X700X900MM</t>
  </si>
  <si>
    <t>BANCADA EM AÇO INOX ESCOVADO COM ESPELHO, ESTRADO E CUBA DIREITA 1850X700X900MM</t>
  </si>
  <si>
    <t>BANCADA EM AÇO INOX ESCOVADO COM ESPELHO E ESTRADO RIPADO 1850X700X900MM</t>
  </si>
  <si>
    <t>BANCADA EM AÇO INOX ESCOVADO COM ESPELHO, ESTRADO RIPADO E BURACO PARA LIXEIRA 2200X700X900MM</t>
  </si>
  <si>
    <t>BANCADA EM AÇO INOX ESCOVADO COM ESPELHO, ESTRADO E CUBA ESQUERDA 1850X700X900MM</t>
  </si>
  <si>
    <t>PIA DE ASSEPSIA EM AÇO INOX ESCOVADO 450X450X450MM</t>
  </si>
  <si>
    <t>COIFA DE CENTRO EM AÇO INOX ESCOVADO 4200X1400MM</t>
  </si>
  <si>
    <t>BALCÃO EM AÇO INOX ESCOVADO 1110X700X900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</si>
  <si>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</si>
  <si>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</si>
  <si>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</si>
  <si>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</si>
  <si>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</si>
  <si>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</si>
  <si>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</si>
  <si>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</si>
  <si>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</si>
  <si>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9.1.11</t>
  </si>
  <si>
    <t>9.1.12</t>
  </si>
  <si>
    <t>Código:   95470  SINAPI</t>
  </si>
  <si>
    <t>SINAPI  95470</t>
  </si>
  <si>
    <t>SINAPI  95472</t>
  </si>
  <si>
    <t>VASO SANITARIO SIFONADO CONVENCIONAL PARA PCD SEM FURO FRONTAL COM LOUÇA BRANCA SEM ASSENTO, INCLUSO CONJUNTO DE LIGAÇÃO PARA BACIA SANITÁRIA AJUSTÁVEL - FORNECIMENTO E INSTALAÇÃO.</t>
  </si>
  <si>
    <t>CHUVEIRO COM VÁLVULA TERMOSTÁTICA  (banheiro PNE)</t>
  </si>
  <si>
    <t>DUCHA MANUAL  (banheiro PNE)</t>
  </si>
  <si>
    <t>DECK DE MADEIRA APARELHADA CONFORME PROJETO e=4,5cm</t>
  </si>
  <si>
    <t>TAMPA PROTETORA DE BORRACHA 13x13cm   e=5cm</t>
  </si>
  <si>
    <t>VASO SANITÁRIO SIFONADO COM CAIXA ACOPLADA LOUÇA BRANCA, INCLUSO ENGATE FLEXÍVEL EM PLÁSTICO BRANCO, 1/2  X 40CM - FORNECIMENTO E INSTALAÇÃO.  (banheiro funcionários)</t>
  </si>
  <si>
    <t>CHUVEIRO ELETRICO COMUM CORPO PLASTICO TIPO DUCHA, FORNECIMENTO E INSTALACAO  (banheiro funcionários)</t>
  </si>
  <si>
    <t>SINAPI  95546</t>
  </si>
  <si>
    <t>KIT DE ACESSORIOS PARA BANHEIRO EM METAL CROMADO, 5 PECAS, INCLUSO FIXAÇÃO.  (banheiros funcionários)</t>
  </si>
  <si>
    <t>ESPELHO CRISTAL, ESPESSURA 4MM, COM PARAFUSOS DE FIXACAO, SEM MOLDURA (banheiros fem/masc/funcionários)</t>
  </si>
  <si>
    <t>SINAPI     74238/002</t>
  </si>
  <si>
    <t>FORNECIMENTO/INSTALACAO LONA PLASTICA PRETA, PARA IMPERMEABILIZACAO, ESPESSURA 150 MICRAS.</t>
  </si>
  <si>
    <t>9.3</t>
  </si>
  <si>
    <t xml:space="preserve">ESCAVAÇÃO MANUAL </t>
  </si>
  <si>
    <t xml:space="preserve">ALVENARIA DE VEDAÇÃO DE BLOCOS CERÂMICOS FURADOS NA VERTICAL DE 14X19X39CM (ESPESSURA 14CM) DE PAREDES COM ÁREA LÍQUIDA MENOR QUE 6M² SEM VÃOS E ARGAMASSA DE ASSENTAMENTO COM PREPARO EM BETONEIRA. </t>
  </si>
  <si>
    <t xml:space="preserve">CHAPISCO APLICADO EM ALVENARIAS E ESTRUTURAS DE CONCRETO INTERNAS, COM COLHER DE PEDREIRO.  ARGAMASSA TRAÇO 1:3 COM PREPARO MANUAL. </t>
  </si>
  <si>
    <t>SINAPI  87529</t>
  </si>
  <si>
    <t>MASSA ÚNICA, PARA RECEBIMENTO DE PINTURA, EM ARGAMASSA TRAÇO 1:2:8, PREPARO MECÂNICO COM BETONEIRA 400L, APLICADA MANUALMENTE, ESPESSURA DE 20MM</t>
  </si>
  <si>
    <t xml:space="preserve">PORTAO EM TELA ARAME GALVANIZADO N.12 MALHA 2" E MOLDURA EM TUBOS DE ACO COM DUAS FOLHAS DE ABRIR, INCLUSO FERRAGENS  (1,70 x 2,14m) </t>
  </si>
  <si>
    <t xml:space="preserve">PORTAO EM TELA ARAME GALVANIZADO N.12 MALHA 2" E MOLDURA EM TUBOS DE ACO COM DUAS FOLHAS DE ABRIR, INCLUSO FERRAGENS  (1,70 x 2,22m) </t>
  </si>
  <si>
    <t xml:space="preserve">TEXTURA ACRÍLICA, APLICAÇÃO MANUAL EM PAREDE, UMA DEMÃO. </t>
  </si>
  <si>
    <t>PINTURA ESMALTE FOSCO, DUAS DEMAOS, SOBRE SUPERFICIE METALICA</t>
  </si>
  <si>
    <t>SINAPI     73924/003</t>
  </si>
  <si>
    <t>9.2.18</t>
  </si>
  <si>
    <t>9.2.19</t>
  </si>
  <si>
    <t>9.2.20</t>
  </si>
  <si>
    <t>9.2.21</t>
  </si>
  <si>
    <t>SINAPI  89707</t>
  </si>
  <si>
    <t xml:space="preserve">CAIXA SIFONADA, PVC, DN 100 X 100 X 50 MM, JUNTA ELÁSTICA, FORNECIDA E INSTALADA EM RAMAL DE DESCARGA OU EM RAMAL DE ESGOTO SANITÁRIO. </t>
  </si>
  <si>
    <t>SINAPI  86914</t>
  </si>
  <si>
    <t>TORNEIRA CROMADA 1/2" OU 3/4" PARA TANQUE, PADRÃO MÉDIO - FORNECIMENTO E INSTALAÇÃO.</t>
  </si>
  <si>
    <t>9.2.22</t>
  </si>
  <si>
    <t>9.2.23</t>
  </si>
  <si>
    <t>9.2.24</t>
  </si>
  <si>
    <t>Abrigo de Gás</t>
  </si>
  <si>
    <t>9.3.15</t>
  </si>
  <si>
    <t>9.3.16</t>
  </si>
  <si>
    <t>9.3.17</t>
  </si>
  <si>
    <t>PORTAO PIVOTANTE COM CONTRAPESO (2,50 X 2,10m  - Pedestres)</t>
  </si>
  <si>
    <t>9.4</t>
  </si>
  <si>
    <t>ARMAÇÃO DE BLOCO, VIGA BALDRAME OU SAPATA UTILIZANDO AÇO CA-50 DE 8MM - MONTAGEM.   (blocos e baldrame)</t>
  </si>
  <si>
    <t>LASTRO DE CONCRETO MAGRO, APLICADO EM BLOCOS DE COROAMENTO OU SAPATAS.  (blocos e baldrame)</t>
  </si>
  <si>
    <t>LANCAMENTO/APLICACAO MANUAL DE CONCRETO (blocos e baldrame)</t>
  </si>
  <si>
    <t>FUNDO ANTICORROSIVO A BASE DE OXIDO DE FERRO (ZARCAO), DUAS DEMAOS</t>
  </si>
  <si>
    <t>SINAPI     74064/001</t>
  </si>
  <si>
    <t>9.5</t>
  </si>
  <si>
    <t>9.5.1</t>
  </si>
  <si>
    <t xml:space="preserve">TUBO DE AÇO GALVANIZADO COM COSTURA, CLASSE MÉDIA, CONEXÃO ROSQUEADA, DN 20 (3/4"), INSTALADO EM RAMAIS E SUB-RAMAIS DE GÁS - FORNECIMENTO E INSTALAÇÃO. </t>
  </si>
  <si>
    <t>SINAPI  92688</t>
  </si>
  <si>
    <t>1.1.3</t>
  </si>
  <si>
    <t>Cabo de aço 1/8"</t>
  </si>
  <si>
    <t>5.6</t>
  </si>
  <si>
    <t>Esticador para cabo de aço</t>
  </si>
  <si>
    <t>FORNECIMENTO E COLOCAÇÃO DE CABO DE AÇO 1/8"</t>
  </si>
  <si>
    <t>CABO DE AÇO 1/8"</t>
  </si>
  <si>
    <t>Código:   COMP.02</t>
  </si>
  <si>
    <t>FORNECIMENTO E COLOCAÇÃO DE ESTICADORES PARA CABO DE AÇO</t>
  </si>
  <si>
    <t>COMP 02</t>
  </si>
  <si>
    <t>Código:   COMP.03</t>
  </si>
  <si>
    <t>COMP 03</t>
  </si>
  <si>
    <r>
      <t xml:space="preserve">FORNECIMENTO E COLOCAÇÃO DE LINHAS DE BAMBU </t>
    </r>
    <r>
      <rPr>
        <b/>
        <sz val="8"/>
        <rFont val="Calibri"/>
        <family val="2"/>
      </rPr>
      <t>Ø3</t>
    </r>
    <r>
      <rPr>
        <b/>
        <sz val="8"/>
        <rFont val="Calibri"/>
        <family val="2"/>
        <scheme val="minor"/>
      </rPr>
      <t>CM</t>
    </r>
  </si>
  <si>
    <t>CJ</t>
  </si>
  <si>
    <t>93282</t>
  </si>
  <si>
    <t xml:space="preserve">GUINCHO ELÉTRICO DE COLUNA, CAPACIDADE 400 KG, COM MOTO FREIO, MOTOR TRIFÁSICO DE 1,25 CV - CHP DIURNO. </t>
  </si>
  <si>
    <t xml:space="preserve">GUINCHO ELÉTRICO DE COLUNA, CAPACIDADE 400 KG, COM MOTO FREIO, MOTOR TRIFÁSICO DE 1,25 CV - CHI DIURNO. </t>
  </si>
  <si>
    <t>SINAPI  94229</t>
  </si>
  <si>
    <t>Código:   94229  SINAPI</t>
  </si>
  <si>
    <t>310ML</t>
  </si>
  <si>
    <t>SINAPI  72739</t>
  </si>
  <si>
    <t>VASO SANITARIO INFANTIL SIFONADO, PARA VALVULA DE DESCARGA, EM LOUCA BRANCA, COM ACESSORIOS, INCLUSIVE ASSENTO PLASTICO, BOLSA DE BORRACHA PARA LIGACAO, TUBO PVC LIGACAO - FORNECIMENTO E INSTALACAO</t>
  </si>
  <si>
    <t>1380</t>
  </si>
  <si>
    <t>VEDACAO PVC, 100 MM, PARA SAIDA VASO SANITARIO</t>
  </si>
  <si>
    <t>6140</t>
  </si>
  <si>
    <t>BOLSA DE LIGACAO EM PVC FLEXIVEL PARA VASO SANITARIO 1.1/2 " (40 MM)</t>
  </si>
  <si>
    <t>11686</t>
  </si>
  <si>
    <t>CONJUNTO DE LIGACAO PARA BACIA SANITARIA EM PLASTICO BRANCO COM TUBO, CANOPLA E ANEL DE EXPANSAO (TUBO 1.1/2 '' X 20 CM)</t>
  </si>
  <si>
    <t>11761</t>
  </si>
  <si>
    <t>ASSENTO  VASO SANITARIO INFANTIL EM PLASTICO BRANCO</t>
  </si>
  <si>
    <t>11786</t>
  </si>
  <si>
    <t>VASO SANITARIO SIFONADO INFANTIL LOUCA BRANCA</t>
  </si>
  <si>
    <t>11955</t>
  </si>
  <si>
    <t>PARAFUSO DE LATAO COM ACABAMENTO CROMADO PARA FIXAR PECA SANITARIA, INCLUI PORCA CEGA, ARRUELA E BUCHA DE NYLON TAMANHO S-10</t>
  </si>
  <si>
    <t xml:space="preserve">VASO SANITARIO SIFONADO CONVENCIONAL PARA PCD SEM FURO FRONTAL COM LOUÇA BRANCA SEM ASSENTO, INCLUSO CONJUNTO DE LIGAÇÃO PARA BACIA SANITÁRIA AJUSTÁVEL - FORNECIMENTO E INSTALAÇÃO. </t>
  </si>
  <si>
    <t>SINAPI  86932</t>
  </si>
  <si>
    <t>Código:   72739  SINAPI</t>
  </si>
  <si>
    <t>Código:   95472  SINAPI</t>
  </si>
  <si>
    <t xml:space="preserve">VASO SANITARIO SIFONADO CONVENCIONAL PARA PCD SEM FURO FRONTAL COM  LOUÇA BRANCA SEM ASSENTO -  FORNECIMENTO E INSTALAÇÃO. </t>
  </si>
  <si>
    <t>Código:  95471 SINAPI MT</t>
  </si>
  <si>
    <t>BACIA SANITARIA (VASO) CONVENCIONAL PARA PCD SEM FURO FRONTAL, DE LOUCA BRANCA, SEM ASSENTO</t>
  </si>
  <si>
    <t xml:space="preserve">PONTO DE TOMADA RESIDENCIAL INCLUINDO TOMADA (2 MÓDULOS) 10A/250V, CAIXA ELÉTRICA, ELETRODUTO, CABO, RASGO, QUEBRA E CHUMBAMENTO. </t>
  </si>
  <si>
    <t xml:space="preserve">Código:   93142 SINAPI </t>
  </si>
  <si>
    <t xml:space="preserve">TOMADA MÉDIA DE EMBUTIR (2 MÓDULOS), 2P+T 10 A, INCLUINDO SUPORTE E PLACA - FORNECIMENTO E INSTALAÇÃO. </t>
  </si>
  <si>
    <t>Código:   92004 SINAPI MT</t>
  </si>
  <si>
    <t xml:space="preserve">TOMADA MÉDIA DE EMBUTIR (2 MÓDULOS), 2P+T 10 A, SEM SUPORTE E SEM PLACA - FORNECIMENTO E INSTALAÇÃO. </t>
  </si>
  <si>
    <t>Código:   92002 SINAPI MT</t>
  </si>
  <si>
    <t>QUADRO DE DISTRIBUICAO DE ENERGIA EM CHAPA DE ACO GALVANIZADO, PARA 12 DISJUNTORES TERMOMAGNETICOS MONOPOLARES, COM BARRAMENTO TRIFASICO E NEUTRO - FORNECIMENTO E INSTALACAO</t>
  </si>
  <si>
    <t>SINAPI 84402</t>
  </si>
  <si>
    <t>QUADRO DE DISTRIBUICAO DE ENERGIA P/ 6 DISJUNTORES TERMOMAGNETICOS MONOPOLARES SEM BARRAMENTO, DE EMBUTIR, EM CHAPA METALICA - FORNECIMENTO E INSTALACAO</t>
  </si>
  <si>
    <t>QUADRO DE DISTRIBUICAO DE ENERGIA DE EMBUTIR, EM CHAPA METALICA, PARA 18 DISJUNTORES TERMOMAGNETICOS MONOPOLARES, COM BARRAMENTO TRIFASICO E NEUTRO, FORNECIMENTO E INSTALACAO</t>
  </si>
  <si>
    <t>QUADRO DE DISTRIBUICAO DE ENERGIA DE EMBUTIR, EM CHAPA METALICA, PARA 24 DISJUNTORES TERMOMAGNETICOS MONOPOLARES, COM BARRAMENTO TRIFASICO E NEUTRO, FORNECIMENTO E INSTALACAO</t>
  </si>
  <si>
    <t>QUADRO DE LÓGICA QL</t>
  </si>
  <si>
    <t>2.4</t>
  </si>
  <si>
    <t>Drenagem</t>
  </si>
  <si>
    <t>SINAPI  94103</t>
  </si>
  <si>
    <t>SINAPI  83665</t>
  </si>
  <si>
    <t>SINAPI  83671</t>
  </si>
  <si>
    <t>REATERRO MANUAL APILOADO COM SOQUETE.  (sapatas)</t>
  </si>
  <si>
    <t>SINAPI      75029/001</t>
  </si>
  <si>
    <t>SINAPI     73902/001</t>
  </si>
  <si>
    <t>CAMADA DRENANTE COM SEIXO ROLADO NUM 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</si>
  <si>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</si>
  <si>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</si>
  <si>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</si>
  <si>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</si>
  <si>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</si>
  <si>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</si>
  <si>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</si>
  <si>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</si>
  <si>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KIT REGISTRO DE GAVETA 3/4"</t>
  </si>
  <si>
    <t>KIT REGISTRO DE GAVETA 32MM</t>
  </si>
  <si>
    <t>KIT REGISTRO DE PRESSÃO 25MM</t>
  </si>
  <si>
    <t>KIT REGISTRO DE GAVETA 85MM</t>
  </si>
  <si>
    <t>KIT REGISTRO DE GAVETA 110MM</t>
  </si>
  <si>
    <t>TUBO PVC SOLDAVEL 110MM</t>
  </si>
  <si>
    <t>TUBO PVC SOLDAVEL 85MM</t>
  </si>
  <si>
    <t>TUBO PVC SOLDAVEL 60MM</t>
  </si>
  <si>
    <t>TUBO PVC SOLDAVEL 40MM</t>
  </si>
  <si>
    <t>TUBO PVC SOLDAVEL 25MM</t>
  </si>
  <si>
    <t>TUBO PVC SOLDAVEL 32MM</t>
  </si>
  <si>
    <t>FOSSA BANANEIRA  2,30 X 15,00 X 3,25</t>
  </si>
  <si>
    <t>SUMIDOURO  DN 3,00M    PROF 3,00M</t>
  </si>
  <si>
    <t>FOSSA SÉPTICA DN 3,00M    PROF 2,70M</t>
  </si>
  <si>
    <t>TUBO PVC ESGOTO 150MM</t>
  </si>
  <si>
    <t>TUBO PVC ESGOTO 100MM</t>
  </si>
  <si>
    <t>TUBO PVC ESGOTO 75MM</t>
  </si>
  <si>
    <t>TUBO PVC ESGOTO 40MM</t>
  </si>
  <si>
    <t>TUBO PVC ESGOTO 50MM</t>
  </si>
  <si>
    <t>Caixa de inspeção de esgoto 30x30x30cm, conforme projeto.</t>
  </si>
  <si>
    <t>Caixa de inspeção de esgoto 150x150x41cm, conforme projeto.</t>
  </si>
  <si>
    <t>8.1.9</t>
  </si>
  <si>
    <t>8.1.11</t>
  </si>
  <si>
    <t>8.1.12</t>
  </si>
  <si>
    <t>8.1.13</t>
  </si>
  <si>
    <t>8.1.14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</si>
  <si>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</si>
  <si>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</si>
  <si>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</si>
  <si>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</si>
  <si>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</si>
  <si>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</si>
  <si>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</si>
  <si>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</si>
  <si>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</si>
  <si>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</si>
  <si>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</si>
  <si>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</si>
  <si>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</si>
  <si>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8.1.29</t>
  </si>
  <si>
    <t>8.1.30</t>
  </si>
  <si>
    <t>8.1.31</t>
  </si>
  <si>
    <t>7.1</t>
  </si>
  <si>
    <t>7.2</t>
  </si>
  <si>
    <t>7.3</t>
  </si>
  <si>
    <t>7.4</t>
  </si>
  <si>
    <t>7.5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</si>
  <si>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</si>
  <si>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</si>
  <si>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</si>
  <si>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</si>
  <si>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</si>
  <si>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</si>
  <si>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</si>
  <si>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</si>
  <si>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</si>
  <si>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</si>
  <si>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</si>
  <si>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</si>
  <si>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</si>
  <si>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</si>
  <si>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</si>
  <si>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</si>
  <si>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</si>
  <si>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</si>
  <si>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</si>
  <si>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</si>
  <si>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</si>
  <si>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Caixa de inspeção de esgoto 40x40x22cm, conforme projeto.</t>
  </si>
  <si>
    <t>Caixa de inspeção de esgoto 40x40x36cm, conforme projeto.</t>
  </si>
  <si>
    <t>Caixa de inspeção de esgoto 100x70x90cm, conforme projeto.</t>
  </si>
  <si>
    <t>Caixa de inspeção de esgoto 60x60x50cm, conforme projeto.</t>
  </si>
  <si>
    <t>Caixa de inspeção de esgoto 60x60x100cm, conforme projeto.</t>
  </si>
  <si>
    <t>Caixa de inspeção de esgoto 70x30x85cm, conforme projeto.</t>
  </si>
  <si>
    <t>Caixa de inspeção de esgoto 150x150x80cm, conforme projeto.</t>
  </si>
  <si>
    <t>Caixa de inspeção de esgoto 30x30x40cm, conforme projeto.</t>
  </si>
  <si>
    <t>Caixa de inspeção de esgoto 30x30x70cm, conforme projeto.</t>
  </si>
  <si>
    <t>PONTO PARA VÁLVULA DE DESCARGA</t>
  </si>
  <si>
    <t>79100KG</t>
  </si>
  <si>
    <t>IMPLANTAÇÃO</t>
  </si>
  <si>
    <t>SINAPI  75220</t>
  </si>
  <si>
    <t xml:space="preserve">ESCAVAÇÃO MANUAL DE VALA COM PROFUNDIDADE MENOR OU IGUAL A 1,30 M. </t>
  </si>
  <si>
    <t>4021</t>
  </si>
  <si>
    <t>MONTADOR (TUBO AÇO/EQUIPAMENTOS) COM ENCARGOS COMPLEMENTARES</t>
  </si>
  <si>
    <t>TUBO PVC  SERIE NORMAL, DN 150 MM, PARA ESGOTO  PREDIAL (NBR 5688)</t>
  </si>
  <si>
    <t>88277 SINAPI MT 05/2018</t>
  </si>
  <si>
    <t>INSTALADOR DE TUBULACOES (TUBOS/EQUIPAMENTOS)</t>
  </si>
  <si>
    <t>CURSO DE CAPACITAÇÃO PARA MONTADOR  DE TUBO AÇO/EQUIPAMENTOS (ENCARGOS COMPLEMENTARES) - HORISTA</t>
  </si>
  <si>
    <t>95343 SINAPI MT 05/2018</t>
  </si>
  <si>
    <t>9834</t>
  </si>
  <si>
    <t>CAMADA DRENANTE COM BRITA NUM 3</t>
  </si>
  <si>
    <t>4722</t>
  </si>
  <si>
    <t>PEDRA BRITADA N. 3 (38 A 50 MM) POSTO PEDREIRA/FORNECEDOR, SEM FRETE</t>
  </si>
  <si>
    <t>DEMOLIÇÃO PISO DE CONCRETO</t>
  </si>
  <si>
    <t>TCPO   3R 03 42 00 00 00 00 06 15</t>
  </si>
  <si>
    <t>Código:   3R 03 42 00 00 00 00 06 15   TCPO</t>
  </si>
  <si>
    <t>Código:   C1073  SEINFRA</t>
  </si>
  <si>
    <t>DEMOLIÇÃO DE REVESTIMENTO COM PEDRAS NATURAIS</t>
  </si>
  <si>
    <t>RETIRADA E TRANSPORTE DE GRADIL METÁLICO</t>
  </si>
  <si>
    <t>Código:   404018  CDHU</t>
  </si>
  <si>
    <t>RETIRADA DE BRINQUEDOS</t>
  </si>
  <si>
    <t>Código:   176050  SIURB EDIF</t>
  </si>
  <si>
    <t>8.5.3</t>
  </si>
  <si>
    <t>8.5.4</t>
  </si>
  <si>
    <t>8.5.5</t>
  </si>
  <si>
    <t>8.5.6</t>
  </si>
  <si>
    <t>8.5.7</t>
  </si>
  <si>
    <t>TUBO PVC 32MM PARA DRENO (descida)</t>
  </si>
  <si>
    <t>LASTRO DE AREIA</t>
  </si>
  <si>
    <t>8.5.8</t>
  </si>
  <si>
    <t>Aluguel container para escritorio ,medindo 2,20m largura  c/wc,medindo 2,20m largura,6,20m comprimento e 2,50m altura,chapas aco c/nervuras trapezoidais,isolamento termo-acustico forro,chassis reforcado e piso compensado (Sala Fiscalização)</t>
  </si>
  <si>
    <t xml:space="preserve">Aluguel container para escritorio ,medindo 2,20m largura  c/wc,medindo 2,20m largura,6,20m comprimento e 2,50m altura,chapas aco c/nervuras trapezoidais,isolamento termo-acustico forro,chassis reforcado e piso compensado  (Administração)  </t>
  </si>
  <si>
    <t>Aluguel container para escritorio ,medindo 2,20m largura  c/wc,medindo 2,20m largura,6,20m comprimento e 2,50m altura,chapas aco c/nervuras trapezoidais,isolamento termo-acustico forro,chassis reforcado e piso compensado (2 para Ferramentaria)</t>
  </si>
  <si>
    <t>Aluguel container para escritorio ,medindo 2,20m largura  c/wc,medindo 2,20m largura,6,20m comprimento e 2,50m altura,chapas aco c/nervuras trapezoidais,isolamento termo-acustico forro,chassis reforcado e piso compensado (Refeitório)</t>
  </si>
  <si>
    <t>Aluguel container para escritorio ,medindo 2,20m largura  c/wc,medindo 2,20m largura,6,20m comprimento e 2,50m altura,chapas aco c/nervuras trapezoidais,isolamento termo-acustico forro,chassis reforcado e piso compensado (bw/vestiário)</t>
  </si>
  <si>
    <t>1.2.4</t>
  </si>
  <si>
    <t>1.2.5</t>
  </si>
  <si>
    <t>LIGAÇÃO PROVISÓRIA DE ÁGUA</t>
  </si>
  <si>
    <t>1.1.4</t>
  </si>
  <si>
    <t>SINAPI 41598</t>
  </si>
  <si>
    <t>ENTRADA PROVISORIA DE ENERGIA ELETRICA AEREA TRIFASICA 40A EM POSTE MADEIRA</t>
  </si>
  <si>
    <t>Código:   41598  SINAPI</t>
  </si>
  <si>
    <t>406</t>
  </si>
  <si>
    <t>FITA ACO INOX PARA CINTAR POSTE, L = 19 MM, E = 0,5 MM (ROLO DE 30M)</t>
  </si>
  <si>
    <t>420</t>
  </si>
  <si>
    <t>CINTA CIRCULAR EM ACO GALVANIZADO DE 150 MM DE DIAMETRO PARA FIXACAO DE CAIXA MEDICAO, INCLUI PARAFUSOS E PORCAS</t>
  </si>
  <si>
    <t>857</t>
  </si>
  <si>
    <t>CABO DE COBRE NU 16 MM2 MEIO-DURO</t>
  </si>
  <si>
    <t>937</t>
  </si>
  <si>
    <t>FIO DE COBRE, SOLIDO, CLASSE 1, ISOLACAO EM PVC/A, ANTICHAMA BWF-B, 450/750V, SECAO NOMINAL 10 MM2</t>
  </si>
  <si>
    <t>1062</t>
  </si>
  <si>
    <t>CAIXA INTERNA DE MEDICAO PARA 1 MEDIDOR TRIFASICO, COM VISOR, EM CHAPA DE ACO 18 USG (PADRAO DA CONCESSIONARIA LOCAL)</t>
  </si>
  <si>
    <t>1096</t>
  </si>
  <si>
    <t>ARMACAO VERTICAL COM HASTE E CONTRA-PINO, EM CHAPA DE ACO GALVANIZADO 3/16", COM 4 ESTRIBOS E 4 ISOLADORES</t>
  </si>
  <si>
    <t>1539</t>
  </si>
  <si>
    <t>CONECTOR METALICO TIPO PARAFUSO FENDIDO (SPLIT BOLT), PARA CABOS ATE 16 MM2</t>
  </si>
  <si>
    <t>1892</t>
  </si>
  <si>
    <t>2392</t>
  </si>
  <si>
    <t>DISJUNTOR TIPO NEMA, TRIPOLAR 10  ATE  50A, TENSAO MAXIMA DE 415 V</t>
  </si>
  <si>
    <t>2685</t>
  </si>
  <si>
    <t>2731</t>
  </si>
  <si>
    <t>MADEIRA ROLICA TRATADA, EUCALIPTO OU EQUIVALENTE DA REGIAO, H = 12 M, D = 20 A 24 CM (PARA POSTE)</t>
  </si>
  <si>
    <t>4346</t>
  </si>
  <si>
    <t>PARAFUSO DE FERRO POLIDO, SEXTAVADO, COM ROSCA PARCIAL, DIAMETRO 5/8", COMPRIMENTO 6", COM PORCA E ARRUELA DE PRESSAO MEDIA</t>
  </si>
  <si>
    <t>11267</t>
  </si>
  <si>
    <t>ARRUELA REDONDA DE LATAO, DIAMETRO EXTERNO = 34 MM, ESPESSURA = 2,5 MM, DIAMETRO DO FURO = 17 MM</t>
  </si>
  <si>
    <t>12034</t>
  </si>
  <si>
    <t>CURVA 180 GRAUS, DE PVC RIGIDO ROSCAVEL, DE 3/4", PARA ELETRODUTO</t>
  </si>
  <si>
    <t>39176</t>
  </si>
  <si>
    <t>BUCHA EM ALUMINIO, COM ROSCA, DE 1", PARA ELETRODUTO</t>
  </si>
  <si>
    <t>39210</t>
  </si>
  <si>
    <t>ARRUELA EM ALUMINIO, COM ROSCA, DE 1", PARA ELETRODUTO</t>
  </si>
  <si>
    <t>Topógrafo</t>
  </si>
  <si>
    <t>CONSTRUÇÃO DA ESCOLA</t>
  </si>
  <si>
    <t>CENTRO DE ATIVIDADES POCONÉ</t>
  </si>
  <si>
    <t>VALOR MÉDIO MENSAL DA DESPESA COM TRANSPORTE DO PESSOAL DA ADMINISTRAÇÃO DIRETA (Custo Direto + B.D.I)</t>
  </si>
  <si>
    <t xml:space="preserve">CUMEEIRA EM TELHA ONDULADA  </t>
  </si>
  <si>
    <t>Código:   75220  SINAPI</t>
  </si>
  <si>
    <t>CUMEEIRA EM PERFIL ONDULADO DE ALUMÍNIO</t>
  </si>
  <si>
    <t>7241</t>
  </si>
  <si>
    <t>CUMEEIRA ALUMINIO ONDULADA, COMPRIMENTO = *1,12* M, E = 0,8 MM</t>
  </si>
  <si>
    <t>SINAPI 83369</t>
  </si>
  <si>
    <t>SINAPI 93657</t>
  </si>
  <si>
    <t>SINAPI 93654</t>
  </si>
  <si>
    <t>SINAPI 93661</t>
  </si>
  <si>
    <t>SINAPI 93664</t>
  </si>
  <si>
    <t>SINAPI 93665</t>
  </si>
  <si>
    <t>SINAPI 93671</t>
  </si>
  <si>
    <t>SINAPI  89985</t>
  </si>
  <si>
    <t>SINAPI  94501</t>
  </si>
  <si>
    <t>SINAPI  89356</t>
  </si>
  <si>
    <t>SINAPI  89357</t>
  </si>
  <si>
    <t>SINAPI  89448</t>
  </si>
  <si>
    <t>SINAPI  89450</t>
  </si>
  <si>
    <t>SINAPI  89452</t>
  </si>
  <si>
    <t>SINAPI  94655</t>
  </si>
  <si>
    <t>6.1</t>
  </si>
  <si>
    <t>6.1.1</t>
  </si>
  <si>
    <t>Revestimento Cerâmico</t>
  </si>
  <si>
    <t>SINAPI  72186</t>
  </si>
  <si>
    <t>SINAPI  72187</t>
  </si>
  <si>
    <t>6.1.2</t>
  </si>
  <si>
    <t>PAREDE:  REVESTIMENTOS, ELEMENTOS DECORATIVOS, PINTURA</t>
  </si>
  <si>
    <t>PINTURA ACRILICA PARA SINALIZAÇÃO HORIZONTAL EM PISO CIMENTADO</t>
  </si>
  <si>
    <t>6.2</t>
  </si>
  <si>
    <t>6.2.1</t>
  </si>
  <si>
    <t>SINAPI 74065/001</t>
  </si>
  <si>
    <t>6.2.2</t>
  </si>
  <si>
    <t>SINAPI  74190/001</t>
  </si>
  <si>
    <t>IMPERMEABILIZACAO DE SUPERFICIE COM MASTIQUE BETUMINOSO A FRIO, POR AREA.</t>
  </si>
  <si>
    <t>Código:   74190/001  SINAPI</t>
  </si>
  <si>
    <t xml:space="preserve">Código:   73686  SINAPI </t>
  </si>
  <si>
    <t>ARAME GALVANIZADO 16 BWG, 1,65MM (0,0166 KG/M)</t>
  </si>
  <si>
    <t>4433</t>
  </si>
  <si>
    <t>7247</t>
  </si>
  <si>
    <t>7252</t>
  </si>
  <si>
    <t>AUXILIAR DE TOPÓGRAFO COM ENCARGOS COMPLEMENTARES</t>
  </si>
  <si>
    <t>NIVELADOR COM ENCARGOS COMPLEMENTARES</t>
  </si>
  <si>
    <t xml:space="preserve">AUXILIAR DE TOPÓGRAFO </t>
  </si>
  <si>
    <t>CURSO DE CAPACITAÇÃO PARA AUXILIAR DE TOPÓGRAFO (ENCARGOS COMPLEMENTARES) - HORISTA</t>
  </si>
  <si>
    <t>95322 SINAPI MT 05/2018</t>
  </si>
  <si>
    <t>AUXILIAR DE TOPÓGRAFO</t>
  </si>
  <si>
    <t xml:space="preserve">NIVELADOR </t>
  </si>
  <si>
    <t>CURSO DE CAPACITAÇÃO PARA NIVELADOR (ENCARGOS COMPLEMENTARES) - HORISTA</t>
  </si>
  <si>
    <t>95352 SINAPI MT 05/2018</t>
  </si>
  <si>
    <t>NIVELADOR</t>
  </si>
  <si>
    <t>89709  SINAPI</t>
  </si>
  <si>
    <t>SINAPI  98081</t>
  </si>
  <si>
    <t>SINAPI  98057</t>
  </si>
  <si>
    <t>SINAPI  98077</t>
  </si>
  <si>
    <t>SINAPI  89849</t>
  </si>
  <si>
    <t>SINAPI  89711</t>
  </si>
  <si>
    <t>SINAPI  89714</t>
  </si>
  <si>
    <t>SINAPI  89713</t>
  </si>
  <si>
    <t>SINAPI  89712</t>
  </si>
  <si>
    <t>SINAPI  89708</t>
  </si>
  <si>
    <t>SINAPI  94102</t>
  </si>
  <si>
    <t>SINAPI  86942</t>
  </si>
  <si>
    <t>88270</t>
  </si>
  <si>
    <t>Código:   97086 SINAPI MT</t>
  </si>
  <si>
    <t xml:space="preserve">FABRICAÇÃO, MONTAGEM E DESMONTAGEM DE FORMA PARA RADIER, EM MADEIRA SERRADA, 4 UTILIZAÇÕES. </t>
  </si>
  <si>
    <t>4491</t>
  </si>
  <si>
    <t>5068</t>
  </si>
  <si>
    <t>6193</t>
  </si>
  <si>
    <t>PECA DE MADEIRA NATIVA / REGIONAL 7,5 X 7,5CM (3X3) NAO APARELHADA (P/FORMA)</t>
  </si>
  <si>
    <t>PREGO DE ACO POLIDO COM CABECA 17 X 21 (2 X 11)</t>
  </si>
  <si>
    <t>TABUA MADEIRA 2A QUALIDADE 2,5 X 20,0CM (1 X 8") NAO APARELHADA</t>
  </si>
  <si>
    <t>7154</t>
  </si>
  <si>
    <t>TELA DE ACO SOLDADA NERVURADA CA-60, Q-138, (2,20 KG/M2), DIAMETRO DO FIO = 4,2 MM, LARGURA =  2,45 X 120 M DE COMPRIMENTO, ESPACAMENTO DA MALHA = 10 X 10 CM</t>
  </si>
  <si>
    <t>Código:   73872/001  SINAPI</t>
  </si>
  <si>
    <t>IMPERMEABILIZACAO COM PINTURA A BASE DE RESINA EPOXI ALCATRAO, UMA DEMAO.</t>
  </si>
  <si>
    <t>154</t>
  </si>
  <si>
    <t>TINTA/REVESTIMENTO  A BASE DE RESINA EPOXI COM ALCATRAO, BICOMPONENTE</t>
  </si>
  <si>
    <t>5318</t>
  </si>
  <si>
    <t>SOLVENTE DILUENTE A BASE DE AGUARRAS</t>
  </si>
  <si>
    <t>Código:   87473 SINAPI MT</t>
  </si>
  <si>
    <t>34547</t>
  </si>
  <si>
    <t>TELA DE ACO SOLDADA GALVANIZADA/ZINCADA PARA ALVENARIA, FIO  D = *1,20 A 1,70* MM, MALHA 15 X 15 MM, (C X L) *50 X 12* CM</t>
  </si>
  <si>
    <t>37395</t>
  </si>
  <si>
    <t>PINO DE ACO COM FURO, HASTE = 27 MM (ACAO DIRETA)</t>
  </si>
  <si>
    <t>37593</t>
  </si>
  <si>
    <t>BLOCO CERAMICO DE VEDACAO COM FUROS NA VERTICAL, 14 X 19 X 39 CM - 4,5 MPA (NBR 15270)</t>
  </si>
  <si>
    <t>CENTO</t>
  </si>
  <si>
    <t>87292</t>
  </si>
  <si>
    <t xml:space="preserve">ARGAMASSA TRAÇO 1:2:8 (CIMENTO, CAL E AREIA MÉDIA) PARA EMBOÇO/MASSA ÚNICA/ASSENTAMENTO DE ALVENARIA DE VEDAÇÃO, PREPARO MECÂNICO COM BETONEIRA 400 L. </t>
  </si>
  <si>
    <t>Código:   87292 SINAPI MT</t>
  </si>
  <si>
    <t>CAL HIDRATADA CH-I PARA ARGAMASSAS</t>
  </si>
  <si>
    <t>OPERADOR DE BETONEIRA COM ENCARGOS COMPLEMENTARES</t>
  </si>
  <si>
    <t>88831</t>
  </si>
  <si>
    <t>Código:   87878 SINAPI MT</t>
  </si>
  <si>
    <t>87377</t>
  </si>
  <si>
    <t xml:space="preserve">ARGAMASSA TRAÇO 1:3 (CIMENTO E AREIA GROSSA) PARA CHAPISCO CONVENCIONAL, PREPARO MANUAL. </t>
  </si>
  <si>
    <t>Código:   87377 SINAPI MT</t>
  </si>
  <si>
    <t>Código:   87529 SINAPI MT</t>
  </si>
  <si>
    <t xml:space="preserve">MASSA ÚNICA, PARA RECEBIMENTO DE PINTURA, EM ARGAMASSA TRAÇO 1:2:8, PREPARO MECÂNICO COM BETONEIRA 400L, APLICADA MANUALMENTE EM FACES INTERNAS DE PAREDES, ESPESSURA DE 20MM, COM EXECUÇÃO DE TALISCAS. </t>
  </si>
  <si>
    <t>Código:   87527 SINAPI MT</t>
  </si>
  <si>
    <t xml:space="preserve">EMBOÇO, PARA RECEBIMENTO DE CERÂMICA, EM ARGAMASSA TRAÇO 1:2:8, PREPARO MECÂNICO COM BETONEIRA 400L, APLICADO MANUALMENTE EM FACES INTERNAS DE PAREDES, PARA AMBIENTE COM ÁREA MENOR QUE 5M2, ESPESSURA DE 20MM, COM EXECUÇÃO DE TALISCAS. </t>
  </si>
  <si>
    <t>Código:   88415 SINAPI MT</t>
  </si>
  <si>
    <t xml:space="preserve">APLICAÇÃO MANUAL DE FUNDO SELADOR ACRÍLICO EM PAREDES EXTERNAS DE CASAS. </t>
  </si>
  <si>
    <t>SELADOR ACRILICO PAREDES INTERNAS/EXTERNAS</t>
  </si>
  <si>
    <t>Código:   95305 SINAPI MT</t>
  </si>
  <si>
    <t>Código:   74064/001 SINAPI MT</t>
  </si>
  <si>
    <t>7307</t>
  </si>
  <si>
    <t>FUNDO ANTICORROSIVO PARA METAIS FERROSOS (ZARCAO)</t>
  </si>
  <si>
    <t>LIXA EM FOLHA PARA FERRO, NUMERO 150</t>
  </si>
  <si>
    <t>TINTA ESMALTE SINTETICO PREMIUM FOSCO</t>
  </si>
  <si>
    <t>AZULEJISTA COM ENCARGOS COMPLEMENTARES</t>
  </si>
  <si>
    <t>Código:   74238/002 SINAPI MT</t>
  </si>
  <si>
    <t>PORTAO EM TELA ARAME GALVANIZADO N.12 MALHA 2" E MOLDURA EM TUBOS DE ACO COM DUAS FOLHAS DE ABRIR, INCLUSO FERRAGENS</t>
  </si>
  <si>
    <t>7167</t>
  </si>
  <si>
    <t>TELA DE ARAME GALV QUADRANGULAR / LOSANGULAR,  FIO 2,11 MM (14 BWG), MALHA  5 X 5 CM, H = 2 M</t>
  </si>
  <si>
    <t>7697</t>
  </si>
  <si>
    <t>TUBO ACO GALVANIZADO COM COSTURA, CLASSE MEDIA, DN 1.1/2", E = *3,25* MM, PESO *3,61* KG/M (NBR 5580)</t>
  </si>
  <si>
    <t>10997</t>
  </si>
  <si>
    <t>ELETRODO REVESTIDO AWS - E7018, DIAMETRO IGUAL A 4,00 MM</t>
  </si>
  <si>
    <t>21010</t>
  </si>
  <si>
    <t>TUBO ACO GALVANIZADO COM COSTURA, CLASSE LEVE, DN 25 MM ( 1"),  E = 2,65 MM,  *2,11* KG/M (NBR 5580)</t>
  </si>
  <si>
    <t>Código:   86914  SINAPI</t>
  </si>
  <si>
    <t xml:space="preserve">TORNEIRA CROMADA 1/2" OU 3/4" PARA TANQUE, PADRÃO MÉDIO - FORNECIMENTO E INSTALAÇÃO. </t>
  </si>
  <si>
    <t>13417</t>
  </si>
  <si>
    <t>TORNEIRA CROMADA SEM BICO PARA TANQUE 1/2 " OU 3/4 " (REF 1143)</t>
  </si>
  <si>
    <t>Código:   89707  SINAPI</t>
  </si>
  <si>
    <t>CAIXA SIFONADA, PVC, DN 100 X 100 X 50 MM, JUNTA ELÁSTICA, FORNECIDA E INSTALADA EM RAMAL DE DESCARGA OU EM RAMAL DE ESGOTO SANITÁRIO.</t>
  </si>
  <si>
    <t>5103</t>
  </si>
  <si>
    <t>CAIXA SIFONADA PVC, 100 X 100 X 50 MM, COM GRELHA REDONDA BRANCA</t>
  </si>
  <si>
    <t>7700</t>
  </si>
  <si>
    <t>TUBO ACO GALVANIZADO COM COSTURA, CLASSE MEDIA, DN 3/4", E = *2,65* MM, PESO *1,58* KG/M (NBR 5580)</t>
  </si>
  <si>
    <t>Código:   92688  SINAPI</t>
  </si>
  <si>
    <t>SINAPI     74244/001</t>
  </si>
  <si>
    <t>ALAMBRADO PARA QUADRA POLIESPORTIVA, ESTRUTURADO POR TUBOS DE ACO GALVANIZADO, COM COSTURA, DIN 2440, DIAMETRO 2", COM TELA DE ARAME GALVANIZADO, FIO 14 BWG E MALHA QUADRADA 5X5CM</t>
  </si>
  <si>
    <t>Código:   74244/001 SINAPI MT</t>
  </si>
  <si>
    <t>7696</t>
  </si>
  <si>
    <t>TUBO ACO GALVANIZADO COM COSTURA, CLASSE MEDIA, DN 2", E = *3,65* MM, PESO *5,10* KG/M (NBR 5580)</t>
  </si>
  <si>
    <t>333</t>
  </si>
  <si>
    <t>ARAME GALVANIZADO 14 BWG, D = 2,11 MM (0,026 KG/M)</t>
  </si>
  <si>
    <t>335</t>
  </si>
  <si>
    <t>ARAME GALVANIZADO 10 BWG, 3,40 MM (0,0713 KG/M)</t>
  </si>
  <si>
    <t>Código:   9537 SINAPI MT</t>
  </si>
  <si>
    <t>ACIDO MURIATICO, DILUICAO 10% A 12% PARA USO EM LIMPEZA</t>
  </si>
  <si>
    <t>SINAPI 9537</t>
  </si>
  <si>
    <t>Código:   84665 SINAPI MT</t>
  </si>
  <si>
    <t>7343</t>
  </si>
  <si>
    <t>TINTA A BASE DE RESINA ACRILICA, PARA SINALIZACAO HORIZONTAL VIARIA (NBR 11862)</t>
  </si>
  <si>
    <t>Código:   72254 SINAPI</t>
  </si>
  <si>
    <t>CABO DE COBRE NU 50MM2 - FORNECIMENTO E INSTALACAO</t>
  </si>
  <si>
    <t>LS: 118,57%</t>
  </si>
  <si>
    <t>ok</t>
  </si>
  <si>
    <t>PECA DE MADEIRA 3A QUALIDADE 2,5 X 10CM NAO APARELHADA</t>
  </si>
  <si>
    <t>PARAFUSO DE LATAO COM ROSCA SOBERBA, CABECA CHATA E FENDA SIMPLES, DIAMETRO 4,8 MM, COMPRIMENTO 65 MM</t>
  </si>
  <si>
    <t>CDHU  409499</t>
  </si>
  <si>
    <t>OK</t>
  </si>
  <si>
    <t>88278 SINAPI MT 05/2018</t>
  </si>
  <si>
    <t>25957</t>
  </si>
  <si>
    <t>MONTADOR DE ESTRUTURAS METALICAS</t>
  </si>
  <si>
    <t>CURSO DE CAPACITAÇÃO PARA MONTADOR DE ESTRUTURA METÁLICA (ENCARGOS COMPLEMENTARES) - HORISTA</t>
  </si>
  <si>
    <t>95344 SINAPI MT 05/2018</t>
  </si>
  <si>
    <t>AQUECEDOR SOLAR CAPACIDADE DO RESERVATORIO 1000 L, INCLUI 10 PLACAS COLETORAS DE 1,42 M2</t>
  </si>
  <si>
    <t>Código:   1501401450   EMOP RJ</t>
  </si>
  <si>
    <t>INSTALACAO DE SISTEMA DE AQUECIMENTO SOLAR, PARA 1000L, E 5 COLETORES VERTICAIS OU HORIZONTAIS, EXCLUSIVE RESERVATORIOS E PLACAS COLETORAS</t>
  </si>
  <si>
    <t>AR-CONDICIONADO FRIO SPLIT PISO-TETO 48000 BTU/H</t>
  </si>
  <si>
    <t>SINAPI  39842</t>
  </si>
  <si>
    <t>AR-CONDICIONADO FRIO SPLIT PISO-TETO 36000 BTU/H</t>
  </si>
  <si>
    <t>SINAPI  39841</t>
  </si>
  <si>
    <t>SIURB  101466</t>
  </si>
  <si>
    <t>DISPENSER PAPEL TOALHA, DE PAREDE, MANUAL, PARA SANITÁRIOS - ABS - ALTO IMPACTO - AUTO CORTE</t>
  </si>
  <si>
    <t>Código:   101466  SIURB</t>
  </si>
  <si>
    <t>TOALHEIRO PLASTICO TIPO DISPENSER PARA PAPEL TOALHA INTERFOLHADO</t>
  </si>
  <si>
    <t>SINAPI  95544</t>
  </si>
  <si>
    <t xml:space="preserve">PAPELEIRA DE PAREDE EM METAL CROMADO SEM TAMPA, INCLUSO FIXAÇÃO. </t>
  </si>
  <si>
    <t>BARRA DE APOIO EM ACO INOXIDAVEL AISI 304,TUBO DE 1.1/4",INC LUSIVE FIXACAO COM PARAFUSOS INOXIDAVEIS E BUCHAS PLASTICAS, COM 80CM,PARA PESSOAS COM NECESSIDADES ESPECIFICAS.FORNECIME NTO E COLOCACAO</t>
  </si>
  <si>
    <t>BARRA DE APOIO RETA, EM ACO INOX POLIDO, COMPRIMENTO 80CM, DIAMETRO MINIMO 3 CM</t>
  </si>
  <si>
    <t>BARRA DE APOIO EM ACO INOXIDAVEL AISI 304,TUBO DE 1 1/4",INC LUSIVE FIXACAO COM PARAFUSOS INOXIDAVEIS E BUCHAS PLASTICAS, COM 70CM,PARA PESSOAS COM NECESSIDADES ESPECIFICAS.FORNECIME NTO E COLOCACAO</t>
  </si>
  <si>
    <t>BARRA DE APOIO EM ACO INOXIDAVEL AISI 304,TUBO DE 1.1/4",INC LUSIVE FIXACAO COM PARAFUSOS INOXIDAVEIS E BUCHAS PLASTICAS, COM 50CM,PARA PESSOAS COM NECESSIDADES ESPECIFICAS.FORNECIME NTO E COLOCACAO</t>
  </si>
  <si>
    <t>BANCO ARTICULADO,COM CANTOS ARREDONDADOS E SUPERFICIE ANTIDE RRAPANTE IMPERMEAVEL,DIMENSOES MINIMAS 0,45X0,70M,EM ACO INO XIDAVEL AISI 304,TUBO DE 1 1/4",PARA PESSOAS COM NECESSIDADE S ESPECIFICAS.FORNCIMENTO E COLOCACAO</t>
  </si>
  <si>
    <t xml:space="preserve">BARRA DE APOIO 50CM EM ACO INOXIDAVEL AISI 304, TUBO DE 1.1/4", INCLUSIVE FIXACAO COM PARAFUSOS INOXIDAVEIS E BUCHAS PLASTICAS, PARA PESSOAS COM NECESSIDADES ESPECIFICAS. FORNECIMENTO E COLOCACAO  (lavatório - banheiro PNE)    </t>
  </si>
  <si>
    <t>TIJOLO CERAMICO MACICO *5 X 10 X 20* CM</t>
  </si>
  <si>
    <t xml:space="preserve">Código:  </t>
  </si>
  <si>
    <t>3R 23 42 17 00 00 00 05 42    TCPO</t>
  </si>
  <si>
    <t>PARAFUSO NIQUELADO 3 1/2" COM ACABAMENTO CROMADO PARA FIXAR PECA SANITARIA, INCLUI PORCA CEGA, ARRUELA E BUCHA DE NYLON TAMANHO S-8</t>
  </si>
  <si>
    <t>TANQUE DE AÇO INOXIDÁVEL</t>
  </si>
  <si>
    <t>SIFAO EM METAL CROMADO PARA TANQUE, 1.1/4 X 1.1/2 "</t>
  </si>
  <si>
    <t>TANQUE ACO INOXIDAVEL (ACO 304) COM ESFREGADOR E VALVULA, DE *50 X 40 X 22* CM</t>
  </si>
  <si>
    <t>TCPO  3R 23 42 17 00 00 00 05 42</t>
  </si>
  <si>
    <t xml:space="preserve">Caixa de gordura especial em alvenaria de tijolos maciços (7x10x20cm), em paredes de uma vez (0,20m), medindo 0,80x0,80x0,90m, inclusive revestimento interno em argamassa de cimento e areia no traço, construído conforme projeto   </t>
  </si>
  <si>
    <t>BDI: 24,50%</t>
  </si>
  <si>
    <t>ABRIGO PARA HIDRANTE, 75X45X17CM, COM REGISTRO GLOBO ANGULAR 45º 2.1/2", ADAPTADOR STORZ 2.1/2", MANGUEIRA DE INCÊNDIO 15M, REDUÇÃO 2.1/2X1.1/2" E ESGUICHO EM LATÃO 1.1/2" - FORNECIMENTO E INSTALAÇÃO</t>
  </si>
  <si>
    <t>SINAPI  72283</t>
  </si>
  <si>
    <t>CAIXA DE INCÊNDIO 60X75X17CM - FORNECIMENTO E INSTALAÇÃO</t>
  </si>
  <si>
    <t>EXTINTOR DE PQS 4KG - FORNECIMENTO E INSTALACAO</t>
  </si>
  <si>
    <t>EXTINTOR INCENDIO AGUA-PRESSURIZADA 10L INCL SUPORTE PAREDE CARGA     COMPLETA FORNECIMENTO E COLOCACAO</t>
  </si>
  <si>
    <t>PLACA ESMALTADA PARA IDENTIFICAÇÃO NR DE RUA, DIMENSÕES 45X25CM</t>
  </si>
  <si>
    <t>TAMPAO FOFO ARTICULADO</t>
  </si>
  <si>
    <t>Kit Central Alarme De Incêndio 24 Setores Completa E Bateria</t>
  </si>
  <si>
    <t xml:space="preserve">Sinalizador Acustico Visual </t>
  </si>
  <si>
    <t xml:space="preserve">Acionador Manual </t>
  </si>
  <si>
    <t>EMOP  02.015.0001-0</t>
  </si>
  <si>
    <t>7.6</t>
  </si>
  <si>
    <t>7.7</t>
  </si>
  <si>
    <t>=Orçamento!C119</t>
  </si>
  <si>
    <t xml:space="preserve">    Unidade SESC POCONÉ</t>
  </si>
  <si>
    <t>CONSTRUÇÃO DE ESCOLA DE ENSINO FUNDAMENTAL  II</t>
  </si>
  <si>
    <t xml:space="preserve">TOTAL DA PLANILHA (BDI = 24,50 %): </t>
  </si>
  <si>
    <t>BRISE DE MADEIRA DE LEI APARELHADA</t>
  </si>
  <si>
    <t>Código:   408971  CDHU</t>
  </si>
  <si>
    <t>AJUDANTE GERAL COM ENCARGOS COMPLEMENTARES</t>
  </si>
  <si>
    <t>BRISE DE MADEIRA</t>
  </si>
  <si>
    <t>MADEIRA SERRADA NAO APARELHADA DE MACARANDUBA, ANGELIM OU EQUIVALENTE DA REGIAO</t>
  </si>
  <si>
    <t>238x40</t>
  </si>
  <si>
    <t xml:space="preserve">VÁLVULA EM METAL CROMADO 1.1/2" X 1.1/2" PARA TANQUE OU LAVATÓRIO, COM OU SEM LADRÃO - FORNECIMENTO E INSTALAÇÃO. </t>
  </si>
  <si>
    <t xml:space="preserve">SIFÃO DO TIPO FLEXÍVEL EM PVC 1 X 1.1/2 - FORNECIMENTO E INSTALAÇÃO. </t>
  </si>
  <si>
    <t>Código:  86877 SINAPI MT</t>
  </si>
  <si>
    <t>VÁLVULA EM METAL CROMADO 1.1/2" X 1.1/2" PARA TANQUE OU LAVATÓRIO, COM OU SEM LADRÃO - FORNECIMENTO E INSTALAÇÃO.</t>
  </si>
  <si>
    <t>6157</t>
  </si>
  <si>
    <t>VALVULA EM METAL CROMADO PARA PIA AMERICANA 3.1/2 X 1.1/2 "</t>
  </si>
  <si>
    <t>Código:  86883 SINAPI MT</t>
  </si>
  <si>
    <t>6148</t>
  </si>
  <si>
    <t>SIFAO PLASTICO FLEXIVEL SAIDA VERTICAL PARA COLUNA LAVATORIO, 1 X 1.1/2 "</t>
  </si>
  <si>
    <t>BALCAO DE MADEIRA REVESTIDO COM LAMINADO MELAMINICO E=25CM</t>
  </si>
  <si>
    <t>BALCAO DE MADEIRA REVESTIDO COM LAMINADO MELAMINICO E=25CM    (2,38 x 0,40cm)</t>
  </si>
  <si>
    <t>COMP 04</t>
  </si>
  <si>
    <t>405615  CDHU</t>
  </si>
  <si>
    <t>BUCHA DE NYLON, DIAMETRO DO FURO 8 MM, COMPRIMENTO 40 MM, COM PARAFUSO DE ROSCA SOBERBA, CABECA CHATA, FENDA SIMPLES, 4,8 X 50 MM</t>
  </si>
  <si>
    <t xml:space="preserve"> INSTALACAO DE SISTEMA DE AQUECIMENTO SOLAR, PARA 200L  1 COLETOR VERTICAL OU HORIZONTAL, EXCLUSIVE RESERVATORIOS </t>
  </si>
  <si>
    <t>RESERVATORIO TERMICO DE BAIXA PRESSAO,PARA SISTEMA DE AQUECIMENTO DE ÁGUA SOLAR ,COM 200L.</t>
  </si>
  <si>
    <t>APARELHO MISTURADOR DE MESA PARA LAVATÓRIO, PADRÃO MÉDIO - FORNECIMENTO E INSTALAÇÃO.</t>
  </si>
  <si>
    <t xml:space="preserve"> Ponto de esgoto primário com tubo PVC e conexões Ø 100 mm</t>
  </si>
  <si>
    <t>CHAPA DE MDF BRANCO LISO 2 FACES, E = 25 MM, DE *2,75 X 1,85* M</t>
  </si>
  <si>
    <t>Código:   405615  CDHU</t>
  </si>
  <si>
    <t>CUBA DE LOUÇA BRANCA DE SEMI-ENCAIXE  36 X 32 CM</t>
  </si>
  <si>
    <t xml:space="preserve">CUBA DE SEMI ENCAIXE EM LOUÇA BRANCA, 40 X 40CM OU EQUIVALENTE, INCLUSO VÁLVULA EM METAL CROMADO E SIFÃO FLEXÍVEL EM PVC - FORNECIMENTO E INSTALAÇÃO. </t>
  </si>
  <si>
    <t xml:space="preserve">CUBA DE SEMI ENCAIXE EM LOUÇA BRANCA, 40 X 40CM OU EQUIVALENTE - FORNECIMENTO E INSTALAÇÃO. </t>
  </si>
  <si>
    <t>CUBA DE SEMI ENCAIXE EM LOUÇA BRANCA, 40 X 40CM OU EQUIVALENTE - FORNECIMENTO E INSTALAÇÃO.</t>
  </si>
  <si>
    <t xml:space="preserve">LAVATORIO/CUBA DE SEMI ENCAIXE LOUCA BRANCA                   42 X 42CM                      </t>
  </si>
  <si>
    <t>86901SINAPI</t>
  </si>
  <si>
    <t xml:space="preserve">BANCADA DE GRANITO CINZA POLIDO PARA LAVATÓRIO 2,50 X 0,60 M COM ESCOAMENTO OCULTO - FORNECIMENTO E INSTALAÇÃO. </t>
  </si>
  <si>
    <t>250x60</t>
  </si>
  <si>
    <t>BANCADA DE GRANITO CINZA CORUMBÁ POLIDO PARA LAVATÓRIO 2,50 X 0,60 M COM ESCOAMENTO OCULTO - FORNECIMENTO E INSTALAÇÃO. (banheiros)</t>
  </si>
  <si>
    <t>LAVATÓRIO LOUÇA BRANCA SUSPENSO,  29,5 X 39CM OU EQUIVALENTE, PADRÃO POPULAR, INCLUSO SIFÃO FLEXÍVEL EM PVC, VÁLVULA E ENGATE FLEXÍVEL 30CM EM PLÁSTICO E TORNEIRA CROMADA DE MESA, PADRÃO POPULAR - FORNECIMENTO E INSTALAÇÃO.  (banheiro PNE)</t>
  </si>
  <si>
    <t>SINAPI  86941</t>
  </si>
  <si>
    <t>LAVATÓRIO LOUÇA BRANCA COM COLUNA, 45 X 55CM OU EQUIVALENTE, PADRÃO MÉDIO, INCLUSO SIFÃO TIPO GARRAFA, VÁLVULA E ENGATE FLEXÍVEL DE 40CM EM METAL CROMADO, COM TORNEIRA CROMADA DE MESA, PADRÃO MÉDIO - FORNECIMENTO E INSTALAÇÃO. (banheiro funcionários)</t>
  </si>
  <si>
    <t>40729 SINAPI</t>
  </si>
  <si>
    <t>ESTOPA</t>
  </si>
  <si>
    <t>VALVULA DE DESCARGA COM SENSOR</t>
  </si>
  <si>
    <t>PROPRIA</t>
  </si>
  <si>
    <t>AJUDANTE DE PEDREIRO COM ENCARGOS COMPLEMENTARES</t>
  </si>
  <si>
    <t>Código:   88242 SINAPI MT</t>
  </si>
  <si>
    <t>AJUDANTE DE PEDREIRO</t>
  </si>
  <si>
    <t>CURSO DE CAPACITAÇÃO PARA AJUDANTE DE PEDREIRO (ENCARGOS COMPLEMENTARES) - HORISTA</t>
  </si>
  <si>
    <t>95312 SINAPI MT 05/2018</t>
  </si>
  <si>
    <t>6127</t>
  </si>
  <si>
    <t xml:space="preserve">TORNEIRA CROMADA DE MESA, TEMPORIZADA, 1/2" OU 3/4", PARA LAVATÓRIO. FORNECIMENTO E INSTALAÇÃO. </t>
  </si>
  <si>
    <t>DECA  TODIMO</t>
  </si>
  <si>
    <t>998PÇ</t>
  </si>
  <si>
    <t>CAVILHA DE MADEIRA 20UNID</t>
  </si>
  <si>
    <t>COTAÇÃO MARCENAL 3616.8888</t>
  </si>
  <si>
    <t>Código:   89709  SINAPI</t>
  </si>
  <si>
    <t xml:space="preserve">RALO SIFONADO, PVC, DN 100 X 40 MM, JUNTA SOLDÁVEL, FORNECIDO E INSTALADO EM RAMAL DE DESCARGA OU EM RAMAL DE ESGOTO SANITÁRIO. </t>
  </si>
  <si>
    <t>408976  CDHU</t>
  </si>
  <si>
    <t>Código:   COMP.04</t>
  </si>
  <si>
    <t>CAIXA SIFONADA 150x150x75MM</t>
  </si>
  <si>
    <t>RALO 100X40MM</t>
  </si>
  <si>
    <t>FITA VEDA ROSCA EM ROLOS DE 18 MM X 50 M (L X C)</t>
  </si>
  <si>
    <t>CHUVEIRO COM VÁLVULA TERMOSTÁTICA</t>
  </si>
  <si>
    <t>PREÇO INTERNET</t>
  </si>
  <si>
    <t>DUCHA METALICA DE PAREDE, ARTICULAVEL, COM DESVIADOR E DUCHA MANUAL</t>
  </si>
  <si>
    <t>SINAPI  72288</t>
  </si>
  <si>
    <t xml:space="preserve">TCPO   3R 09 15 00 00 00 01 25 94    </t>
  </si>
  <si>
    <t>TCPO  3R 29 32 34 00 00 00 02 01</t>
  </si>
  <si>
    <t>SEINFRA  C0389</t>
  </si>
  <si>
    <t xml:space="preserve">Bloco autônomo </t>
  </si>
  <si>
    <t>SEINFRAC2275</t>
  </si>
  <si>
    <t>TCPO  3R 29 32 34 00 00 00 02 02</t>
  </si>
  <si>
    <t>TCPO  3R 23 42 24 00 00 00 05 05</t>
  </si>
  <si>
    <t>SIURB EDIF           10-14-86</t>
  </si>
  <si>
    <t>EMOP  18.016.0010-0</t>
  </si>
  <si>
    <t>Fermat</t>
  </si>
  <si>
    <t>3634.4165</t>
  </si>
  <si>
    <t>R$/m</t>
  </si>
  <si>
    <t>Com Ferr Silva</t>
  </si>
  <si>
    <t>3322.5311</t>
  </si>
  <si>
    <t>3634.3050</t>
  </si>
  <si>
    <t>Perfilados</t>
  </si>
  <si>
    <t>ESTICADOR PARA CABO DE AÇO 3/16"</t>
  </si>
  <si>
    <t>CABO DE AÇO</t>
  </si>
  <si>
    <t>ESTICADOR 3/16'</t>
  </si>
  <si>
    <t>É O MENOR DISPONÍVEL</t>
  </si>
  <si>
    <t>Aluguel de Caminhão Munk</t>
  </si>
  <si>
    <t>SINAPI 40994</t>
  </si>
  <si>
    <t>Operador de Munk</t>
  </si>
  <si>
    <t>incluso combustível e salário, excluso refeição e alojamento</t>
  </si>
  <si>
    <t xml:space="preserve">Código:   96995 SINAPI </t>
  </si>
  <si>
    <t xml:space="preserve">Código:   94103 SINAPI </t>
  </si>
  <si>
    <t xml:space="preserve">Código:   72897 SINAPI </t>
  </si>
  <si>
    <t xml:space="preserve">Código:   96523 SINAPI </t>
  </si>
  <si>
    <t xml:space="preserve">Código:   93358 SINAPI </t>
  </si>
  <si>
    <t>DEMOLIÇÃO DE PISO CIMENTADO SOBRE LASTRO DE CONCRETO</t>
  </si>
  <si>
    <t>Código:   73847/001  SINAPI</t>
  </si>
  <si>
    <t xml:space="preserve">Código:   3R 02 57 27 00 00 00 01 06  TCPO </t>
  </si>
  <si>
    <t xml:space="preserve">Código:   96619 SINAPI </t>
  </si>
  <si>
    <t>Código:   94107 SINAPI</t>
  </si>
  <si>
    <t xml:space="preserve">Código:   68053 SINAPI </t>
  </si>
  <si>
    <t>CORTE E DOBRA DE AÇO CA-50, DIÂMETRO DE 8,0 MM, UTILIZADO EM ESTRUTURAS DIVERSAS, EXCETO LAJES</t>
  </si>
  <si>
    <t xml:space="preserve">Código:   96545 SINAPI </t>
  </si>
  <si>
    <t xml:space="preserve">Código:   73994/001 SINAPI </t>
  </si>
  <si>
    <t>ARMACAO EM TELA DE ACO SOLDADA NERVURADA Q-138,    ACO CA-60, 4,2MM,  MALHA 10X10CM</t>
  </si>
  <si>
    <t xml:space="preserve">Código:   73902/001  SINAPI </t>
  </si>
  <si>
    <t>Código:   75029/001  SINAPI</t>
  </si>
  <si>
    <t xml:space="preserve">Código:   83671 SINAPI </t>
  </si>
  <si>
    <t xml:space="preserve">Código:   96546 SINAPI </t>
  </si>
  <si>
    <t>CORTE E DOBRA DE AÇO CA-50, DIÂMETRO DE 10,0 MM, UTILIZADO EM ESTRUTURAS DIVERSAS, EXCETO LAJES</t>
  </si>
  <si>
    <t xml:space="preserve">Código:   83665 SINAPI </t>
  </si>
  <si>
    <t>Código:   73970/001 SINAPI</t>
  </si>
  <si>
    <t xml:space="preserve">93281 SINAPI </t>
  </si>
  <si>
    <t xml:space="preserve">93277 SINAPI </t>
  </si>
  <si>
    <t xml:space="preserve">93278 SINAPI </t>
  </si>
  <si>
    <t xml:space="preserve">93279 SINAPI </t>
  </si>
  <si>
    <t xml:space="preserve">93280 SINAPI </t>
  </si>
  <si>
    <t>SINAPI  86878</t>
  </si>
  <si>
    <t xml:space="preserve">VÁLVULA EM METAL CROMADO TIPO AMERICANA 3.1/2" X 1.1/2" PARA PIA - FORNECIMENTO E INSTALAÇÃO. </t>
  </si>
  <si>
    <t>SINAPI  86910</t>
  </si>
  <si>
    <t>SINAPI  86881</t>
  </si>
  <si>
    <t xml:space="preserve">SIFÃO DO TIPO GARRAFA EM METAL CROMADO 1 X 1.1/2" - FORNECIMENTO E INSTALAÇÃO. </t>
  </si>
  <si>
    <t xml:space="preserve">TORNEIRA CROMADA TUBO MÓVEL, DE PAREDE, 1/2" OU 3/4", PARA PIA DE COZINHA, PADRÃO MÉDIO - FORNECIMENTO E INSTALAÇÃO. </t>
  </si>
  <si>
    <t>EMOP   15.005.0280-0</t>
  </si>
  <si>
    <t>DUTO COIFA  (0,40 x 0,75 x 6,75)M</t>
  </si>
  <si>
    <t>DUTO DE EXAUSTÃO   (0,60 x 0,875 x 6,75)M</t>
  </si>
  <si>
    <t>EMOP  18.034.0100-0</t>
  </si>
  <si>
    <t>SISTEMA DE EXAUSTÃO DE FOGÕES</t>
  </si>
  <si>
    <t>SINAPI      74157/004</t>
  </si>
  <si>
    <t>SINAPI  97900</t>
  </si>
  <si>
    <t>COMP 05</t>
  </si>
  <si>
    <t>Código:   COMP 05</t>
  </si>
  <si>
    <t>COMP 06</t>
  </si>
  <si>
    <t>Código:   COMP 06</t>
  </si>
  <si>
    <t>COMP 06.01</t>
  </si>
  <si>
    <t>Código:  COMP 06.01</t>
  </si>
  <si>
    <t>COMP 07</t>
  </si>
  <si>
    <t>Código:   COMP 07</t>
  </si>
  <si>
    <t>COMP 08</t>
  </si>
  <si>
    <t>Código:   COMP 08</t>
  </si>
  <si>
    <t>PCMAT / PCMSO / PPRA</t>
  </si>
  <si>
    <t>EQUIPE ADMINISTRATIVA</t>
  </si>
  <si>
    <t>1.3.5</t>
  </si>
  <si>
    <t>SALÁRIOS</t>
  </si>
  <si>
    <t>Motorista Operador de Munk</t>
  </si>
  <si>
    <t>Motrista de Onibus/micro-onibus</t>
  </si>
  <si>
    <t>SINAPI 40992</t>
  </si>
  <si>
    <t>SINAPI  40914</t>
  </si>
  <si>
    <t>SINAPI  41065</t>
  </si>
  <si>
    <t>SINAPI  41086</t>
  </si>
  <si>
    <t>SINAPI  41089</t>
  </si>
  <si>
    <t>Carpinteiro</t>
  </si>
  <si>
    <t>Eletricista</t>
  </si>
  <si>
    <t>Painéis</t>
  </si>
  <si>
    <t>FECHAMENTOS: PAINÉIS, ESQUADRIAS E VIDROS</t>
  </si>
  <si>
    <t>PAINEL WALL 1,20 X 2,50 M  E=40MM</t>
  </si>
  <si>
    <t>PAINEL WALL PARA PISO</t>
  </si>
  <si>
    <t>COMP 09</t>
  </si>
  <si>
    <t>Código:   COMP 09</t>
  </si>
  <si>
    <t>8.1.15</t>
  </si>
  <si>
    <t>8.1.32</t>
  </si>
  <si>
    <t>8.4.2</t>
  </si>
  <si>
    <t>8.4.7</t>
  </si>
  <si>
    <t>8.7.1</t>
  </si>
  <si>
    <t>PAINEL WALL PARA PAREDE</t>
  </si>
  <si>
    <t>BDI 24,50%</t>
  </si>
  <si>
    <t>MÃO-DE-OBRA MENSAL</t>
  </si>
  <si>
    <t>MENSALISTA 75,25%</t>
  </si>
  <si>
    <t>Ajudante de Operação em Geral</t>
  </si>
  <si>
    <t>VIDRO LAMINADO 6MM</t>
  </si>
  <si>
    <t>Código:   COMP 12</t>
  </si>
  <si>
    <t>10498</t>
  </si>
  <si>
    <t>MASSA PARA VIDRO</t>
  </si>
  <si>
    <t>VIDRACEIRO COM ENCARGOS COMPLEMENTARES</t>
  </si>
  <si>
    <t>VIDRO COMUM LAMINADO, LISO, INCOLOR, DUPLO, ESPESSURA TOTAL 6 MM (CADA CAMADA E= 3 MM) - COLOCADO</t>
  </si>
  <si>
    <t>88325  SINAPI MT  05/2018</t>
  </si>
  <si>
    <t xml:space="preserve">VIDRACEIRO </t>
  </si>
  <si>
    <t>CURSO DE CAPACITAÇÃO PARA VIDRACEIRO (ENCARGOS COMPLEMENTARES) - HORISTA</t>
  </si>
  <si>
    <t>95387 SINAPI MT 05/2018</t>
  </si>
  <si>
    <t>VIDRACEIRO</t>
  </si>
  <si>
    <t>VIDRO LAMINADO  8MM  (cobertura circulação cozinha/refeitório)</t>
  </si>
  <si>
    <t>Código:   COMP 13</t>
  </si>
  <si>
    <t>VIDRO LAMINADO 8MM</t>
  </si>
  <si>
    <t>VIDRO COMUM LAMINADO LISO INCOLOR DUPLO, ESPESSURA TOTAL 8 MM (CADA CAMADA DE 4 MM) - COLOCADO</t>
  </si>
  <si>
    <t>VIDRO COMUM 8MM</t>
  </si>
  <si>
    <t>COMP 14</t>
  </si>
  <si>
    <t>Código:   COMP 14</t>
  </si>
  <si>
    <t>VIDRO LISO INCOLOR 8MM  -  SEM COLOCACAO</t>
  </si>
  <si>
    <t>4.3.3</t>
  </si>
  <si>
    <t>9.4.1</t>
  </si>
  <si>
    <t>9.4.2</t>
  </si>
  <si>
    <t>9.4.9</t>
  </si>
  <si>
    <t>Abrigo Container de Lixo</t>
  </si>
  <si>
    <t>9.4.3</t>
  </si>
  <si>
    <t>9.4.4</t>
  </si>
  <si>
    <t>9.4.5</t>
  </si>
  <si>
    <t>9.4.6</t>
  </si>
  <si>
    <t>9.4.7</t>
  </si>
  <si>
    <t>9.4.8</t>
  </si>
  <si>
    <t>9.4.10</t>
  </si>
  <si>
    <t>9.4.11</t>
  </si>
  <si>
    <t>PERGOLADO DE BAMBU</t>
  </si>
  <si>
    <t>5.7</t>
  </si>
  <si>
    <t>5.8</t>
  </si>
  <si>
    <t>FORNECIMENTO E COLOCAÇÃO DE TELHA PVC RÍGIDA TRANSLÚCIDA ONDULADA</t>
  </si>
  <si>
    <t>VERDÃO 3314.1000 MOREIRA</t>
  </si>
  <si>
    <t>366X110</t>
  </si>
  <si>
    <t>PÇ</t>
  </si>
  <si>
    <t>PARAFUSO ZINCADO ROSCA SOBERBA, CABECA SEXTAVADA, 5/16 " X 50 MM, PARA FIXACAO DE TELHA EM MADEIRA</t>
  </si>
  <si>
    <t>CONJUNTO ARRUELAS DE VEDACAO 5/16" PARA TELHA FIBROCIMENTO (UMA ARRUELA METALICA E UMA ARRUELA PVC - CONICAS)</t>
  </si>
  <si>
    <t>060230 SIURB</t>
  </si>
  <si>
    <t>COMP 10</t>
  </si>
  <si>
    <t>Código:  COMP 10</t>
  </si>
  <si>
    <t>TELHA DE PVC RÍGIDO TRANSLÚCIDA PERFIL ONDULADO 366 X 110MM</t>
  </si>
  <si>
    <t>TELHA TRANSLÚCIDA ONDULADA (cobertura das passarelas)</t>
  </si>
  <si>
    <t>Código:  COMP 11</t>
  </si>
  <si>
    <t>COMP 11</t>
  </si>
  <si>
    <t>CDHU</t>
  </si>
  <si>
    <t>COMP. 15</t>
  </si>
  <si>
    <t>Código:   COMP. 15</t>
  </si>
  <si>
    <t>9.3.18</t>
  </si>
  <si>
    <t>ALIMENTAÇÃO</t>
  </si>
  <si>
    <r>
      <t xml:space="preserve">Fornecimento e instalação de malha de aterramento em cabo de cobre nú ø 50 mm² </t>
    </r>
    <r>
      <rPr>
        <sz val="11"/>
        <color rgb="FFFF0000"/>
        <rFont val="Arial"/>
        <family val="2"/>
      </rPr>
      <t xml:space="preserve"> </t>
    </r>
  </si>
  <si>
    <t>SINAPI  40818</t>
  </si>
  <si>
    <t>SINAPI  40918</t>
  </si>
  <si>
    <t>LEIS SOCIAIS 118,57%</t>
  </si>
  <si>
    <t>MÃO-DE-OBRA  POR MÊS</t>
  </si>
  <si>
    <t>TOTAL MÃO-DE-OBRA  L.S. 75,25%</t>
  </si>
  <si>
    <t>TOTAL MÃO-DE-OBRA  sem leis sociais</t>
  </si>
  <si>
    <t xml:space="preserve">Motorista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</si>
  <si>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</si>
  <si>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</si>
  <si>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</si>
  <si>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</si>
  <si>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</si>
  <si>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</si>
  <si>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</si>
  <si>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</si>
  <si>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1.2.1.1</t>
  </si>
  <si>
    <t>1.2.1.2</t>
  </si>
  <si>
    <t>1.2.1.3</t>
  </si>
  <si>
    <t>1.3.6</t>
  </si>
  <si>
    <t>1.3.7</t>
  </si>
  <si>
    <t>1.3.8</t>
  </si>
  <si>
    <t>1.3.9</t>
  </si>
  <si>
    <t>PERFIL MONTANTE, FORMATO C, EM ACO ZINCADO, PARA ESTRUTURA PAREDE DRYWALL, E = 0,5 MM, 70 X 3000 MM (L X C)</t>
  </si>
  <si>
    <t>BUCHA DE NYLON SEM ABA S6, COM PARAFUSO DE 4,20 X 40 MM EM ACO ZINCADO COM ROSCA SOBERBA, CABECA CHATA E FENDA PHILLIPS</t>
  </si>
  <si>
    <t>Gradil e Portões de Acesso</t>
  </si>
  <si>
    <t>PORTAO EM TELA ARAME GALVANIZADO N.12 MALHA 2" E MOLDURA EM TUBOS DE ACO COM DUAS FOLHAS DE ABRIR, INCLUSO FERRAGENS  (5,00 x 2,10m - Docas) 2unid</t>
  </si>
  <si>
    <t>ESCAVAÇÃO MANUAL (blocos e baldrames)</t>
  </si>
  <si>
    <t xml:space="preserve">CORTE E ATERRO COMPENSADO </t>
  </si>
  <si>
    <t>COMP 01</t>
  </si>
  <si>
    <t>Código:   COMP 01</t>
  </si>
  <si>
    <t>LUMINÁRIA DE EMERGÊNCIA - FORNECIMENTO E INSTALAÇÃO</t>
  </si>
  <si>
    <t>SINAPI  73916/002</t>
  </si>
  <si>
    <t>SINAPI  97599</t>
  </si>
  <si>
    <t>SINAPI  83627</t>
  </si>
  <si>
    <t xml:space="preserve">SUB-TOTAL ITEM 9.4 </t>
  </si>
  <si>
    <t>SUB-TOTAL ITEM 9.3</t>
  </si>
  <si>
    <t>SUB-TOTAL ITEM 9.2</t>
  </si>
  <si>
    <t>SUB-TOTAL ITEM 9.1</t>
  </si>
  <si>
    <t>SUB-TOTAL ITEM 8.8</t>
  </si>
  <si>
    <t>SUB-TOTAL ITEM 8.7</t>
  </si>
  <si>
    <t>SUB-TOTAL ITEM 8.6</t>
  </si>
  <si>
    <t>SUB-TOTAL ITEM 8.5</t>
  </si>
  <si>
    <t>SUB-TOTAL ITEM 8.4</t>
  </si>
  <si>
    <t>SUB-TOTAL ITEM 8.2</t>
  </si>
  <si>
    <t>SUB-TOTAL ITEM 8.1</t>
  </si>
  <si>
    <t>SUB-TOTAL ITEM 4.3</t>
  </si>
  <si>
    <t>SUB-TOTAL ITEM 6.1</t>
  </si>
  <si>
    <t>SUB-TOTAL ITEM 4.2</t>
  </si>
  <si>
    <t>SUB-TOTAL ITEM 4.1</t>
  </si>
  <si>
    <t>SUB-TOTAL ITEM 2.4</t>
  </si>
  <si>
    <t>SUB-TOTAL ITEM 2.3</t>
  </si>
  <si>
    <t>SUB-TOTAL ITEM 2.1</t>
  </si>
  <si>
    <t>SUB-TOTAL ITEM 2.2</t>
  </si>
  <si>
    <t>SUB-TOTAL ITEM 1.4</t>
  </si>
  <si>
    <t>SUB-TOTAL ITEM 1.3</t>
  </si>
  <si>
    <t>SUB-TOTAL ITEM 1.2</t>
  </si>
  <si>
    <t>SUB-TOTAL ITEM 1.1</t>
  </si>
  <si>
    <t>SUB-TOTAL ITEM 6.2</t>
  </si>
  <si>
    <t>PINTURA EPOXI INCLUSO EMASSAMENTO E FUNDO PREPARADOR</t>
  </si>
  <si>
    <t>SINAPI  84647</t>
  </si>
  <si>
    <t>PISO VINILICO SEMIFLEXIVEL PADRAO LISO, ESPESSURA 3,2MM, FIXADO COM COLA (salas de aula, sala professores, administração)</t>
  </si>
  <si>
    <t>SINAPI  92362</t>
  </si>
  <si>
    <t>TUBO DE AÇO PRETO SEM COSTURA, CONEXÃO SOLDADA, DN 65 (2 1/2"), INSTALADO EM REDE DE ALIMENTAÇÃO PARA HIDRANTE - FORNECIMENTO E INSTALAÇÃO.</t>
  </si>
  <si>
    <t>Código:   COMP 16</t>
  </si>
  <si>
    <t>ELETRODUTO EM AÇO GALVANIZADO DN 50 (1") - FORNECIMENTO E ASSENTAMENTO</t>
  </si>
  <si>
    <t xml:space="preserve">LUVA DE EMENDA PARA ELETRODUTO, AÇO GALVANIZADO, DN 25 MM (1''), APARENTE, INSTALADA EM TETO - FORNECIMENTO E INSTALAÇÃO. </t>
  </si>
  <si>
    <t>Código:   95754  SINAPI</t>
  </si>
  <si>
    <t>LUVA PARA ELETRODUTO, EM ACO GALVANIZADO ELETROLITICO, DIAMETRO DE 25 MM (1")</t>
  </si>
  <si>
    <t>SUB-TOTAL ITEM 9.5</t>
  </si>
  <si>
    <t>Código:   3R 10 31 00 00 00 00 03 05   TCPO</t>
  </si>
  <si>
    <t>AZULEJO ASSENTADO COM COLA ESPECIAL A BASE DE PVA, JUNTAS A PRUMO</t>
  </si>
  <si>
    <t>COLA BRANCA BASE PVA</t>
  </si>
  <si>
    <t xml:space="preserve"> 3R 10 31 00 00 00 00 03 05   TCPO</t>
  </si>
  <si>
    <t>REVESTIMENTO EM CERAMICA ESMALTADA EXTRA, PEI MAIOR OU IGUAL 4, FORMATO MAIOR A 2025 CM2</t>
  </si>
  <si>
    <t>PINTURA ESMALTE SINTETICO 2 DEMAOS EM ESTRUTURA METALICA COM 1 DEMAO DE PRIMER</t>
  </si>
  <si>
    <t>Código:   406783  CDHU</t>
  </si>
  <si>
    <t>PRIMER UNIVERSAL, FUNDO ANTICORROSIVO TIPO ZARCAO</t>
  </si>
  <si>
    <t>CDHU  406783</t>
  </si>
  <si>
    <t>C2103  SEINFRA</t>
  </si>
  <si>
    <t>REJUNTAMENTO P/CERÂMICA C/ L-FLEX E EPOXI (PAREDE/PISO)</t>
  </si>
  <si>
    <t>Código:   C2103  SEINFRA</t>
  </si>
  <si>
    <t xml:space="preserve">REJUNTAMENTO EPOXI P/CERÂMICA </t>
  </si>
  <si>
    <t>94216sinapi</t>
  </si>
  <si>
    <t>Código:  COMP 17</t>
  </si>
  <si>
    <t>COMP 17</t>
  </si>
  <si>
    <t>PINTURA ESMALTE FOSCO PARA MADEIRA, DUAS DEMAOS, SOBRE FUNDO NIVELADOR BRANCO (painel e portas wall)</t>
  </si>
  <si>
    <t>SINAPI  83633</t>
  </si>
  <si>
    <t>HIDRANTE SUBTERRANEO FERRO FUNDIDO C/ CURVA LONGA E CAIXA DN=75MM</t>
  </si>
  <si>
    <t>TRANSPORTES E CAMINHÃO MUNK</t>
  </si>
  <si>
    <t>BANCO ARTICULADO,COM CANTOS ARREDONDADOS E SUPERFICIE ANTIDE RRAPANTE IMPERMEAVEL,DIMENSOES MINIMAS 0,45X0,70M,EM ACO INOXIDAVEL AISI 304,TUBO DE 1 1/4",PARA PESSOAS COM NECESSIDADE S ESPECIFICAS.FORNCIMENTO E COLOCACAO  (chuveiro -banheiro PNE)</t>
  </si>
  <si>
    <t>Outros</t>
  </si>
  <si>
    <t>ALOJAMENTO</t>
  </si>
  <si>
    <t>1.2.2</t>
  </si>
  <si>
    <t>LEIS SOCIAIS 118,57%      BDI 24,5%</t>
  </si>
  <si>
    <t>ESCAVAÇÃO MANUAL PARA BLOCO DE COROAMENTO OU SAPATA</t>
  </si>
  <si>
    <t xml:space="preserve">ESCAVAÇÃO MANUAL PARA BLOCO DE COROAMENTO OU SAPATA,   COM PREVISÃO DE FORMA </t>
  </si>
  <si>
    <t>CARGA MANUAL DE ENTULHO EM CAMINHAO BASCULANTE 6M3 - BOTA-FORA, empolamento 30%</t>
  </si>
  <si>
    <t xml:space="preserve"> PLACA DE OBRA MODELO SESC EM CHAPA DE AÇO GALVANIZADO, FORNECIMENTO E COLOCAÇÃO</t>
  </si>
  <si>
    <t>PEÇA DE MADEIRA NAO APARELHADA *7,5 X 7,5* CM (3 X 3 ") MACARANDUBA, ANGELIM OU EQUIVALENTE DA REGIAO</t>
  </si>
  <si>
    <t>PREGO DE AÇO POLIDO COM CABEÇA 18 X 30 (2 3/4 X 10)</t>
  </si>
  <si>
    <t xml:space="preserve">ESCAVAÇÃO MANUAL DE VALA COM PROFUNDIDADE MENOR    OU IGUAL A 1,30 M. </t>
  </si>
  <si>
    <t>PEÇA DE MADEIRA 3A QUALIDADE 2,5 X 10CM NAO APARELHADA  (SARRAFO 1" X 4")</t>
  </si>
  <si>
    <t>PEÇA DE MADEIRA NAO APARELHADA *7,5 X 7,5* CM (3 X 3 ") MAÇARANDUBA, ANGELIM OU EQUIVALENTE DA REGIAO  (PONTALETE)</t>
  </si>
  <si>
    <t>TELHA DE AÇO ZINCADO TRAPEZOIDAL, A = *40* MM, E = 0,5 MM, SEM PINTURA</t>
  </si>
  <si>
    <t>TCPO    3R 02 57 27 00 00 00 01 06</t>
  </si>
  <si>
    <t>ENTRADA PROVISORIA DE ENERGIA ELETRICA AÉREA TRIFASICA 40A EM POSTE DE MADEIRA</t>
  </si>
  <si>
    <t>TAPUME DE PROTEÇÃO COM TELHA TRAPEZOIDAL EM AÇO GALVANIZADO #0,43MM EM ESTRUTUTA DE MADEIRA</t>
  </si>
  <si>
    <t>CONCRETO FCK = 25MPa, TRAÇO 1:2,3:2,7 (CIMENTO/ AREIA MÉDIA/ BRITA 1)  - PREPARO MECÂNICO COM BETONEIRA 400 L. (sapatas)</t>
  </si>
  <si>
    <t>LANÇAMENTO/APLICAÇÃO MANUAL DE CONCRETO (sapatas)</t>
  </si>
  <si>
    <t>CONCRETO FCK = 25MPa, TRAÇO 1:2,3:2,7 (CIMENTO/ AREIA MÉDIA/ BRITA 1)  - PREPARO MECÂNICO COM BETONEIRA 400 L</t>
  </si>
  <si>
    <t>LANÇAMENTO/APLICAÇÃO MANUAL DE CONCRETO EM FUNDAÇÕES</t>
  </si>
  <si>
    <t>LASTRO DE VALA COM PREPARO DE FUNDO, LARGURA MENOR QUE 1,5 M, COM CAMADA           DE BRITA, LANÇAMENTO MANUAL, EM LOCAL COM NÍVEL BAIXO DE INTERFERÊNCIA</t>
  </si>
  <si>
    <t>FORNECIMENTO E INSTALAÇÃO DE MANTA BIDIM RT - 14</t>
  </si>
  <si>
    <t>GEOTEXTIL NÃO TECIDO AGULHADO DE FILAMENTOS CONTINUOS 100% POLIESTER, RESITENCIA A TRAÇÃO = 14 KN/M</t>
  </si>
  <si>
    <t>TUBO PVC DN 100 MM PARA DRENAGEM - FORNECIMENTO E INSTALAÇÃO</t>
  </si>
  <si>
    <t>TUBO PVC CORRUGADO RIGIDO PERFURADO DN 150 PARA DRENAGEM - FORNECIMENTO E INSTALAÇÃO</t>
  </si>
  <si>
    <t>TUBO PVC, RIGIDO, CORRUGADO, PERFURADO, DN 150 MM, PARA DRENAGEM, SISTEMA IRRIGAÇÃO</t>
  </si>
  <si>
    <t>ESTRUTURA METÁLICA EM AÇO ESTRUTURAL PERFIL  I  12 X 5 1/4"</t>
  </si>
  <si>
    <t>PERFIL "I" DE AÇO LAMINADO, "W" 410 X 67</t>
  </si>
  <si>
    <t>SOLDA TOPO DESCENDENTE CHANFRADA ESPESSURA=1/4" CHAPA/PERFIL/TUBO AÇO COM CONVERSOR DIESEL.</t>
  </si>
  <si>
    <t>ESTRUTURA METALICA EM AÇO ESTRUTURAL PERFIL I 12 X 5 1/4</t>
  </si>
  <si>
    <t>PREGO DE AÇO POLIDO COM CABEÇA 15 X 15 (1 1/4 X 13)</t>
  </si>
  <si>
    <t>MASSA DE REJUNTE EM PÓ PARA DRYWALL, A BASE DE GESSO, SECAGEM RÁPIDA, PARA TRATAMENTO DE JUNTAS DE CHAPA DE GESSO (COM ADIÇÃO DE ÁGUA)</t>
  </si>
  <si>
    <t>PARAFUSO CABEÇA TROMBETA E PONTA AGULHA (GN55), COMPRIMENTO 55 MM, EM AÇO FOSFATIZADO, PARA FIXAR CHAPA DE GESSO EM PERFIL DRYWALL METÁLICO MÁXIMO 0,7 MM</t>
  </si>
  <si>
    <t>PERFIL GUIA, FORMATO U, EM AÇO ZINCADO, PARA ESTRUTURA PAREDE DRYWALL, E = 0,5 MM, 70 X 3000 MM (L X C)</t>
  </si>
  <si>
    <t>ALUMINIO ANODIZADO</t>
  </si>
  <si>
    <t>JANELA DE ALUMINIO ANODIZADO AO NATURAL, TIPO PIVOTANTE, COM PAINEL PIVOTANTE VERTICAL, EM PERFIS SERIE 28. FORNECIMENTO E COLOCAÇÃO</t>
  </si>
  <si>
    <t>Código:   14.03.0061-0 EMOP</t>
  </si>
  <si>
    <t>TABUA MADEIRA 2A QUALIDADE 2,5 X 30CM (1 X 12") NAO APARELHADA</t>
  </si>
  <si>
    <t>PREGO DE AÇO POLIDO COM CABEÇA 15 X 18 (1 1/2 X 13)</t>
  </si>
  <si>
    <t>LOCAÇÃO DA OBRA, COM USO DE EQUIPAMENTOS TOPOGRAFICOS</t>
  </si>
  <si>
    <t>LOCAÇÃO DE NIVEL ÓPTICO, COM PRECISÃO DE 0,7 MM, AUMENTO DE 32X</t>
  </si>
  <si>
    <t>LOCAÇÃO DE TEODOLITO ELETRONICO, PRECISÃO ANGULAR DE 5 A 7 SEGUNDOS, INCLUINDO TRIPE</t>
  </si>
  <si>
    <t>TCPO 3R 23 42 40 00 00 00 05 29</t>
  </si>
  <si>
    <t>CARGA MANUAL DE ENTULHO EM CAMINHÃO BASCULANTE 6M3 - BOTA-FORA, empolamento 30%</t>
  </si>
  <si>
    <t xml:space="preserve">LASTRO DE VALA COM PREPARO DE FUNDO, LARGURA MENOR QUE 1,50M, COM CAMADA DE BRITA, LANÇAMENTO MANUAL, EM LOCAL COM NÍVEL BAIXO DE INTERFERÊNCIA. </t>
  </si>
  <si>
    <t>TUBO PVC DN 150MM PARA DRENAGEM - FORNECIMENTO E INSTALAÇÃO</t>
  </si>
  <si>
    <t>HASTE RETA PARA GANCHO DE FERRO GALVANIZADO, COM ROSCA 1/4 " X 30 CM PARA FIXAÇÃO DE TELHA METÁLICA, INCLUI PORCA E ARRUELAS DE VEDAÇÃO</t>
  </si>
  <si>
    <t>PREGO DE AÇO POLIDO COM CABEÇA 18 X 27 (2 1/2 X 10)</t>
  </si>
  <si>
    <t>CALHA EM CHAPA DE AÇO GALVANIZADO NÚMERO 24, DESENVOLVIMENTO DE 100 CM, INCLUSO TRANSPORTE VERTICAL</t>
  </si>
  <si>
    <t>CALHA QUADRADA DE CHAPA DE AÇO GALVANIZADA NUM 24, CORTE 100 CM (COLETADO CAIXA)</t>
  </si>
  <si>
    <t>SERVENTE COM ENCARGOS SOCIAIS</t>
  </si>
  <si>
    <t>Beira Rio</t>
  </si>
  <si>
    <t>Verdão</t>
  </si>
  <si>
    <t xml:space="preserve">ASSENTO PARA VASO SANITARIO </t>
  </si>
  <si>
    <t>LUCIA</t>
  </si>
  <si>
    <t>LOURDES</t>
  </si>
  <si>
    <t>ASSENTO ESPECIAL PARA VASO SANITARIO PARA PESSOAS COM NECESSIDADES ESPECIFICAS. FORNECIMENTO E COLOCAÇÃO</t>
  </si>
  <si>
    <t>ASSENTO ESPECIAL PARA VASO SANITARIO PARA PESSOAS COM NECESSIDADES ESPECIFICAS</t>
  </si>
  <si>
    <t>ASSENTO SANITARIO PLASTICO, TIPO POPULAR. FORNECIMENTO E COLOCAÇÃO</t>
  </si>
  <si>
    <t>COMP 18</t>
  </si>
  <si>
    <t>COMP 19</t>
  </si>
  <si>
    <t>EMOP     15.002.0080-0</t>
  </si>
  <si>
    <t>Código:   COMP 18</t>
  </si>
  <si>
    <t>Código:   COMP 19</t>
  </si>
  <si>
    <t>FERRAMENTAS - FAMILIA TOPOGRAFO - HORISTA (ENCARGOS COMPLEMENTARES - COLETADO CAIXA)</t>
  </si>
  <si>
    <t>EPI - FAMILIA TOPOGRAFO - HORISTA (ENCARGOS COMPLEMENTARES - COLETADO CAIXA)</t>
  </si>
  <si>
    <t>88253 SINAPI MT  06/2020</t>
  </si>
  <si>
    <t>88288 SINAPI MT  06/2020</t>
  </si>
  <si>
    <t>PREÇO SINAPI MT 06/2020</t>
  </si>
  <si>
    <t>PREÇO SINAPI 06/2020</t>
  </si>
  <si>
    <t xml:space="preserve">Código:   99253 SINAPI </t>
  </si>
  <si>
    <t>CAIXA ENTERRADA HIDRÁULICA RETANGULAR EM ALVENARIA COM TIJOLOS CERÂMICOS MACIÇOS, DIMENSÕES INTERNAS: 0,6X0,6X0,6 M PARA REDE DE DRENAGEM</t>
  </si>
  <si>
    <t xml:space="preserve">UN </t>
  </si>
  <si>
    <t xml:space="preserve"> 	RETROESCAVADEIRA SOBRE RODAS COM CARREGADEIRA, TRAÇÃO 4X4, POTÊNCIA LÍQ. 88 HP, CAÇAMBA CARREG. CAP. MÍN. 1 M3, CAÇAMBA RETRO CAP. 0,26 M3, PESO OPERACIONAL MÍN. 6.674 KG, PROFUNDIDADE ESCAVAÇÃO MÁX. 4,37 M - CHP DIURNO.</t>
  </si>
  <si>
    <t>5678 SINAPI MT 2020</t>
  </si>
  <si>
    <t>RETROESCAVADEIRA SOBRE RODAS COM CARREGADEIRA, TRAÇÃO 4X4, POTÊNCIA LÍQ. 88 HP, CAÇAMBA CARREG. CAP. MÍN. 1 M3, CAÇAMBA RETRO CAP. 0,26 M3, PESO OPERACIONAL MÍN. 6.674 KG, PROFUNDIDADE ESCAVAÇÃO MÁX. 4,37 M</t>
  </si>
  <si>
    <t>OPERADOR DE ESCAVADEIRA COM ENCARGOS COMPLEMENTARES</t>
  </si>
  <si>
    <t>RETROESCAVADEIRA SOBRE RODAS COM CARREGADEIRA, TRAÇÃO 4X4, POTÊNCIA LÍQ. 88 HP, CAÇAMBA CARREG. CAP. MÍN. 1 M3, CAÇAMBA RETRO CAP. 0,26 M3, PESO OPERACIONAL MÍN. 6.674 KG, PROFUNDIDADE ESCAVAÇÃO MÁX. 4,37 M - DEPRECIAÇÃO.</t>
  </si>
  <si>
    <t>RETROESCAVADEIRA SOBRE RODAS COM CARREGADEIRA, TRAÇÃO 4X4, POTÊNCIA LÍQ. 88 HP, CAÇAMBA CARREG. CAP. MÍN. 1 M3, CAÇAMBA RETRO CAP. 0,26 M3, PESO OPERACIONAL MÍN. 6.674 KG, PROFUNDIDADE ESCAVAÇÃO MÁX. 4,37 M - JUROS</t>
  </si>
  <si>
    <t>RETROESCAVADEIRA SOBRE RODAS COM CARREGADEIRA, TRAÇÃO 4X4, POTÊNCIA LÍQ. 88 HP, CAÇAMBA CARREG. CAP. MÍN. 1 M3, CAÇAMBA RETRO CAP. 0,26 M3, PESO OPERACIONAL MÍN. 6.674 KG, PROFUNDIDADE ESCAVAÇÃO MÁX. 4,37 M - MANUTENÇÃO</t>
  </si>
  <si>
    <t xml:space="preserve"> 	5664</t>
  </si>
  <si>
    <t>RETROESCAVADEIRA SOBRE RODAS COM CARREGADEIRA, TRAÇÃO 4X4, POTÊNCIA LÍQ. 88 HP, CAÇAMBA CARREG. CAP. MÍN. 1 M3, CAÇAMBA RETRO CAP. 0,26 M3, PESO OPERACIONAL MÍN. 6.674 KG, PROFUNDIDADE ESCAVAÇÃO MÁX. 4,37 M - MATERIAIS NA OPERAÇÃO.</t>
  </si>
  <si>
    <t>95357 SINAPI MT 05/2018</t>
  </si>
  <si>
    <t>CURSO DE CAPACITAÇÃO PARA OPERADOR DE ESCAVADEIRA (ENCARGOS COMPLEMENTARES) - HORISTA</t>
  </si>
  <si>
    <t xml:space="preserve"> 	00004234</t>
  </si>
  <si>
    <t>OPERADOR DE ESCAVADEIRA</t>
  </si>
  <si>
    <t>88294  SINAPI MT  05/2018</t>
  </si>
  <si>
    <t>5679 SINAPI MT 2020</t>
  </si>
  <si>
    <t>ARGAMASSA TRAÇO 1:4 (EM VOLUME DE CIMENTO E AREIA GROSSA ÚMIDA) PARA CHAPISCO CONVENCIONAL, PREPARO MECÂNICO COM BETONEIRA 400 L.</t>
  </si>
  <si>
    <t xml:space="preserve">ARGAMASSA TRAÇO 1:4 (EM VOLUME DE CIMENTO E AREIA GROSSA ÚMIDA) PARA CHAPISCO CONVENCIONAL, PREPARO MECÂNICO COM BETONEIRA 400 L. </t>
  </si>
  <si>
    <t>BETONEIRA CAPACIDADE NOMINAL DE 400 L, CAPACIDADE DE MISTURA 280 L, MOTOR ELÉTRICO TRIFÁSICO POTÊNCIA DE 2 CV, SEM CARREGADOR</t>
  </si>
  <si>
    <t>Código:   87316 SINAPI MT</t>
  </si>
  <si>
    <t xml:space="preserve">BETONEIRA CAPACIDADE NOMINAL DE 400 L, CAPACIDADE DE MISTURA 280 L, MOTOR ELÉTRICO TRIFÁSICO POTÊNCIA DE 2 CV, SEM CARREGADOR </t>
  </si>
  <si>
    <t>AREIA GROSSA - POSTO JAZIDA/FORNECEDOR (RETIRADO NA JAZIDA, SEM TRANSPORTE)</t>
  </si>
  <si>
    <t xml:space="preserve">0,0014 	</t>
  </si>
  <si>
    <t xml:space="preserve"> 	88316</t>
  </si>
  <si>
    <t xml:space="preserve"> 	SERVENTE COM ENCARGOS COMPLEMENTARES</t>
  </si>
  <si>
    <t>Código:   88628 SINAPI MT</t>
  </si>
  <si>
    <t>ARGAMASSA TRAÇO 1:3 (EM VOLUME DE CIMENTO E AREIA MÉDIA ÚMIDA), PREPARO MECÂNICO COM BETONEIRA 400 L. AF_08/2019</t>
  </si>
  <si>
    <t>PREPARO DE FUNDO DE VALA COM LARGURA MENOR QUE 1,5 M, EM LOCAL COM NÍVEL BAIXO DE INTERFERÊNCIA</t>
  </si>
  <si>
    <t>Código:   94097 SINAPI MT</t>
  </si>
  <si>
    <t>COMPACTADOR DE SOLOS DE PERCUSSÃO (SOQUETE) COM MOTOR A GASOLINA 4 TEMPOS, POTÊNCIA 4 CV</t>
  </si>
  <si>
    <t xml:space="preserve"> 	COMPACTADOR DE SOLOS DE PERCUSSÃO (SOQUETE) COM MOTOR A GASOLINA 4 TEMPOS, POTÊNCIA 4 CV</t>
  </si>
  <si>
    <t>CONCRETO FCK = 20MPA, TRAÇO 1:2,7:3 (CIMENTO/ AREIA MÉDIA/ BRITA 1) - PREPARO MECÂNICO COM BETONEIRA 600 L</t>
  </si>
  <si>
    <t>94970 SINAPI MT 2018</t>
  </si>
  <si>
    <t xml:space="preserve">BETONEIRA CAPACIDADE NOMINAL DE 600 L, CAPACIDADE DE MISTURA 360 L, MOTOR ELÉTRICO TRIFÁSICO POTÊNCIA DE 4 CV, SEM CARREGADOR </t>
  </si>
  <si>
    <t>PEÇA RETANGULAR PRÉ-MOLDADA, VOLUME DE CONCRETO DE 30 A 100 LITROS, TAXA DE AÇO APROXIMADA DE 30KG/M</t>
  </si>
  <si>
    <t>97735 SINAPI MT 05/2018</t>
  </si>
  <si>
    <t>PEÇA RETANGULAR PRÉ-MOLDADA, VOLUME DE CONCRETO DE 30 A 100 LITROS, TAXA DE AÇO APROXIMADA DE 30KG/M³</t>
  </si>
  <si>
    <t>88317 SINAPI MT 10/2018</t>
  </si>
  <si>
    <t>TELHA PEFURADA ZINCADA CALANDRADA ESP 0,65MM</t>
  </si>
  <si>
    <t>TELHA ONDULADA ZINCADA CALANDRADA ESP 0,65MM</t>
  </si>
  <si>
    <t>ARREMATE TAPA ONDA ISOLAMENTO 50MM</t>
  </si>
  <si>
    <t xml:space="preserve">LA DE PET </t>
  </si>
  <si>
    <t>RUFO CARTOLA GALVANIZADO 3000x200x0,65</t>
  </si>
  <si>
    <t>88323 SINAPI MT  06/2020</t>
  </si>
  <si>
    <t>88323  SINAPI MT  06/2020</t>
  </si>
  <si>
    <t>TELHAMENTO COM TELHA METÁLICA LÃ DE PET E TELHA PERFURADA E = 65 MM, INCLUSO IÇAMENTO.</t>
  </si>
  <si>
    <t>88270  SINAPI MT  06/2020</t>
  </si>
  <si>
    <t>Código:   PRÓPRIA</t>
  </si>
  <si>
    <t>Código:   94792  SINAPI - própria</t>
  </si>
  <si>
    <t>REGISTRO DE GAVETA BRUTO, LATÃO, ROSCÁVEL, 1 1/4, COM ACABAMENTO E CANOPLA CROMADOS, INSTALADO EM RESERVAÇÃO DE ÁGUA DE EDIFICAÇÃO QUE POSSUA RESERVATÓRIO DE FIBRA/FIBROCIMENTO  FORNECIMENTO E INSTALAÇÃO.</t>
  </si>
  <si>
    <t xml:space="preserve"> 	00003148</t>
  </si>
  <si>
    <t>REGISTRO GAVETA COM ACABAMENTO E CANOPLA CROMADOS, SIMPLES, BITOLA 1 " (REF 1509)</t>
  </si>
  <si>
    <t xml:space="preserve"> 	00006013</t>
  </si>
  <si>
    <t>PREPARO DE FUNDO DE VALA COM LARGURA MENOR QUE 1,5 M, EM LOCAL COM NÍVEL BAIXO DE INTERFERÊNCIA.</t>
  </si>
  <si>
    <t>CONCRETO FCK = 20MPA, TRAÇO 1:2,7:3 (CIMENTO/ AREIA MÉDIA/ BRITA 1) - PREPARO MECÂNICO COM BETONEIRA 600 L.</t>
  </si>
  <si>
    <t>ARGAMASSA TRAÇO 1:3 (CIMENTO E AREIA), PREPARO MECANICO , INCLUSO ADITIVO IMPERMEABILIZANTE</t>
  </si>
  <si>
    <t>ARGAMASSA TRAÇO 1:3 (CIMENTO E AREIA MÉDIA), PREPARO MECÂNICO COM BETONEIRA 400 L. AF_08/2014</t>
  </si>
  <si>
    <t>ADITIVO IMPERMEABILIZANTE DE PEGA NORMAL PARA ARGAMASSAS E CONCRETOS SEM ARMACAO</t>
  </si>
  <si>
    <t>PEÇA RETANGULAR PRÉ-MOLDADA, VOLUME DE CONCRETO DE 10 A 30 LITROS, TAXA DE AÇO APROXIMADA DE 30KG/M³.</t>
  </si>
  <si>
    <t xml:space="preserve"> 	00007258</t>
  </si>
  <si>
    <t>0,4X0,7=0,28x4 LADOS = 1,12/0,01 (AREA TIJOLINHO) = 112X1,20 (COEF ORCAFASCIO) = 134,4</t>
  </si>
  <si>
    <t>CAIXA ENTERRADA HIDRÁULICA RETANGULAR EM ALVENARIA COM TIJOLOS CERÂMICOS MACIÇOS, DIMENSÕES INTERNAS: 1,50X1,50X0,4 M PARA REDE DE ESGOTO.</t>
  </si>
  <si>
    <t xml:space="preserve">RETROESCAVADEIRA SOBRE RODAS COM CARREGADEIRA, TRAÇÃO 4X4, POTÊNCIA LÍQ. 88 HP, CAÇAMBA CARREG. CAP. MÍN. 1 M3, CAÇAMBA RETRO CAP. 0,26 M3, PESO OPERACIONAL MÍN. 6.674 KG, PROFUNDIDADE ESCAVAÇÃO MÁX. 4,37 M - CHP DIURNO. </t>
  </si>
  <si>
    <t xml:space="preserve"> 	RETROESCAVADEIRA SOBRE RODAS COM CARREGADEIRA, TRAÇÃO 4X4, POTÊNCIA LÍQ. 88 HP, CAÇAMBA CARREG. CAP. MÍN. 1 M3, CAÇAMBA RETRO CAP. 0,26 M3, PESO OPERACIONAL MÍN. 6.674 KG, PROFUNDIDADE ESCAVAÇÃO MÁX. 4,37 M - CHI DIURNO.</t>
  </si>
  <si>
    <t xml:space="preserve"> 	94099</t>
  </si>
  <si>
    <t>PEÇA RETANGULAR PRÉ-MOLDADA, VOLUME DE CONCRETO ACIMA DE 100 LITROS, TAXA DE AÇO APROXIMADA DE 30KG/M³</t>
  </si>
  <si>
    <t>PREÇO SINAPI MT 06/2018</t>
  </si>
  <si>
    <t>CAIXA ENTERRADA HIDRÁULICA RETANGULAR EM ALVENARIA COM TIJOLOS CERÂMICOS MACIÇOS, DIMENSÕES INTERNAS: 0,4X0,4X0,22 M PARA REDE DE ESGOTO</t>
  </si>
  <si>
    <t xml:space="preserve"> 	ARGAMASSA TRAÇO 1:3 (EM VOLUME DE CIMENTO E AREIA MÉDIA ÚMIDA) COM ADIÇÃO DE IMPERMEABILIZANTE, PREPARO MECÂNICO COM BETONEIRA 400 L</t>
  </si>
  <si>
    <t>97900 base</t>
  </si>
  <si>
    <t>CAIXA ENTERRADA HIDRÁULICA RETANGULAR EM ALVENARIA COM TIJOLOS CERÂMICOS MACIÇOS, DIMENSÕES INTERNAS: 0,4X0,4X0,36 M PARA REDE DE ESGOTO</t>
  </si>
  <si>
    <t>CAIXA ENTERRADA HIDRÁULICA RETANGULAR EM ALVENARIA COM TIJOLOS CERÂMICOS MACIÇOS, DIMENSÕES INTERNAS: 1,00X0,70X0,9 M PARA REDE DE ESGOTO.</t>
  </si>
  <si>
    <t>CAIXA ENTERRADA HIDRÁULICA RETANGULAR EM ALVENARIA COM TIJOLOS CERÂMICOS MACIÇOS, DIMENSÕES INTERNAS: 0,6X0,6X0,5 M PARA REDE DE ESGOTO</t>
  </si>
  <si>
    <t>PEÇA RETANGULAR PRÉ-MOLDADA, VOLUME DE CONCRETO DE 30 A 100 LITROS, TAXA DE AÇO APROXIMADA DE 30KG/M³.</t>
  </si>
  <si>
    <t>CAIXA ENTERRADA HIDRÁULICA RETANGULAR EM ALVENARIA COM TIJOLOS CERÂMICOS MACIÇOS, DIMENSÕES INTERNAS: 0,6X0,6X1 M PARA REDE DE ESGOTO</t>
  </si>
  <si>
    <t>CAIXA ENTERRADA HIDRÁULICA RETANGULAR EM ALVENARIA COM TIJOLOS CERÂMICOS MACIÇOS, DIMENSÕES INTERNAS: 0,7X0,3X0,85 M PARA REDE DE ESGOTO</t>
  </si>
  <si>
    <t>CAIXA ENTERRADA HIDRÁULICA RETANGULAR EM ALVENARIA COM TIJOLOS CERÂMICOS MACIÇOS, DIMENSÕES INTERNAS: 1,50X1,50X0,8 M PARA REDE DE ESGOTO.</t>
  </si>
  <si>
    <t xml:space="preserve">CONECTOR EM AÇO CROMADO PARA HASTE TERRA Ø 3/4"  FORNECIMENTO E INSTALAÇÃO. </t>
  </si>
  <si>
    <t>2C 14 16 04 39 24</t>
  </si>
  <si>
    <t xml:space="preserve">TERMINAL A COMPRESSAO DE COBRE TIPO OLHAL 16MM2 </t>
  </si>
  <si>
    <t>CONECTOR EM AÇO CROMADO PARA HASTE TERRA Ø 3/4"</t>
  </si>
  <si>
    <t>88247 SINAPI MT  05/2018</t>
  </si>
  <si>
    <t>88264 SINAPI MT  05/2018</t>
  </si>
  <si>
    <t>CDHU 400441</t>
  </si>
  <si>
    <t>Código:  2C 14 16 04 39 24 TCPO PRÓPRIA</t>
  </si>
  <si>
    <t>Código:  CDHU 400441 PRÓPRIA</t>
  </si>
  <si>
    <t xml:space="preserve">TERMINAL A COMPRESSAO DE COBRE TIPO OLHAL 16MM2. FORNECIMENTO E INSTALAÇÃO. </t>
  </si>
  <si>
    <t xml:space="preserve">HASTE COPPERWELD PARA ATERRAMENTO Ø 3/4" X 2,4 M   FORNECIMENTO E INSTALAÇÃO. </t>
  </si>
  <si>
    <t xml:space="preserve">HASTE COPPERWELD PARA ATERRAMENTO Ø 3/4" X 2,4 M </t>
  </si>
  <si>
    <t>FITA ELASTOMÉRICA REFRIGERAÇÃO E AR CONDICIONADO ROLO 3 MM X 45 MM X 10 M</t>
  </si>
  <si>
    <t>ABRACADEIRA DE NYLON PARA AMARRACAO DE CABOS, COMPRIMENTO DE 100 X 2,5 MM</t>
  </si>
  <si>
    <t>2N 36 16 25 12 37</t>
  </si>
  <si>
    <t>MONTADOR</t>
  </si>
  <si>
    <t xml:space="preserve">FITA ELASTOMÉRICA REFRIGERAÇÃO E AR CONDICIONADO ROLO 3 MM X 45 MM X 10 M FORNECIMENTO E INSTALAÇÃO. </t>
  </si>
  <si>
    <t xml:space="preserve">CAIXA DE PASSAGEM DAC-002 2 SAIDAS FORNECIMENTO E INSTALAÇÃO. </t>
  </si>
  <si>
    <t xml:space="preserve">CAIXA DE PASSAGEM DAC-002 2 SAIDAS </t>
  </si>
  <si>
    <t xml:space="preserve">BARRA CHATA PARA PASSAGEM DE TUBULAÇÃO DE DRENO. FORNECIMENTO E INSTALAÇÃO. </t>
  </si>
  <si>
    <t>BARRA CHATA PARA PASSAGEM DE TUBULAÇÃO DE DRENO</t>
  </si>
  <si>
    <t>ORÇAMENTO</t>
  </si>
  <si>
    <t>ARAME DE ACO OVALADO 15 X 17 ( 45,7 KG, 700 KGF), ROLO 1000 M</t>
  </si>
  <si>
    <t>88274  SINAPI MT  06/2020</t>
  </si>
  <si>
    <t>51632 SIURB-INFRA</t>
  </si>
  <si>
    <t xml:space="preserve"> 	ELETRODUTO DE AÇO GALVANIZADO ELETROLÍTICO TIPO LEVE - ROSCA NBR 8133 - ESP. 1,06MM - 1"</t>
  </si>
  <si>
    <t>BANCADA EM AÇO INOX ESCOVADO COM ESPELHO, ESTRADO E 2 CUBAS  1850X700X900MM - FORNECIMENTO E ASSENTAMENTO</t>
  </si>
  <si>
    <t>AREIA MEDIA LAVADA</t>
  </si>
  <si>
    <t>CIMENTO CP-32</t>
  </si>
  <si>
    <t>BANCADA DE AÇO INOXIDÁVEL COM ACABAMENTO ESCOVADO E CANTOS RETOS, #4CM</t>
  </si>
  <si>
    <t>2C 12 03 05 00 03</t>
  </si>
  <si>
    <t xml:space="preserve">00006157 	</t>
  </si>
  <si>
    <t>SIFAO EM METAL CROMADO PARA PIA OU LAVATORIO, 1 X 1.1/2 "</t>
  </si>
  <si>
    <t>MARMORISTA COM ENCARGOS COMPLEMENTARES</t>
  </si>
  <si>
    <t>CUBA ACO INOX (AISI 304) DE EMBUTIR COM VALVULA 3 1/2 ", DE *46 X 30 X 12* CM</t>
  </si>
  <si>
    <t>LOCACAO DE CONTAINER 2,30 X 6,00 M, ALT. 2,50 M, COM 1 SANITARIO, PARA ESCRITORIO, COMPLETO, SEM DIVISORIAS INTERNAS</t>
  </si>
  <si>
    <t>Código:   10775  SINAPI</t>
  </si>
  <si>
    <t>Código:   10777  SINAPI</t>
  </si>
  <si>
    <t>LOCACAO DE CONTAINER 2,30 X 4,30 M, ALT. 2,50 M, PARA SANITARIO, COM 3 BACIAS, 4 CHUVEIROS, 1 LAVATORIO E 1 MICTORIO</t>
  </si>
  <si>
    <t>I2161</t>
  </si>
  <si>
    <t>I0109</t>
  </si>
  <si>
    <t>TUBO CERÂMICO DE 100MM</t>
  </si>
  <si>
    <t>I2943</t>
  </si>
  <si>
    <t>HIDROM TIPO TAQUIMÉTRICO 3 m3/h, 3/4"- COMPLETO</t>
  </si>
  <si>
    <t>I0177</t>
  </si>
  <si>
    <t>BACIA TURCA DE LOUÇA COM SIFÃO INTEGRADO</t>
  </si>
  <si>
    <t>TABUA DE 1" DE 3A. - L = 30cm</t>
  </si>
  <si>
    <t>I1916</t>
  </si>
  <si>
    <t>I2167</t>
  </si>
  <si>
    <t>I1691</t>
  </si>
  <si>
    <t>I2082</t>
  </si>
  <si>
    <t>TIJOLO MACIÇO COMUM</t>
  </si>
  <si>
    <t>CAIXA D'AGUA DE FIBROCIMENTO DE 1000 L, COM TAMPA</t>
  </si>
  <si>
    <t>I0409</t>
  </si>
  <si>
    <t>AREIA MEDIA</t>
  </si>
  <si>
    <t>PREGO 15X15</t>
  </si>
  <si>
    <t>TUBO AÇO GALVANIZADO DE 20MM (3/4')</t>
  </si>
  <si>
    <t>PONTALETE / BARROTE DE 3"x3"</t>
  </si>
  <si>
    <t>Código:   C1622</t>
  </si>
  <si>
    <t>LIGAÇÃO PROVISÓRIA DE ÁGUA E SANITÁRIO</t>
  </si>
  <si>
    <t>I1725 SEINFRA</t>
  </si>
  <si>
    <t>LIXA EM FOLHA PARA PAREDE OU MADEIRA, NUMERO 120 (COR VERMELHA)</t>
  </si>
  <si>
    <t>FUNDO SINTETICO NIVELADOR BRANCO FOSCO PARA MADEIRA</t>
  </si>
  <si>
    <t>I 	00006086</t>
  </si>
  <si>
    <t>PINTURA ESMALTE FOSCO PARA MADEIRA, DUAS DEMAOS, SOBRE FUNDO NIVELADOR BRANCO</t>
  </si>
  <si>
    <t>Código:   74065/001 SINAPI</t>
  </si>
  <si>
    <t>Código:   COMP 20</t>
  </si>
  <si>
    <t>PERF BZ-Z180 NR. 11 - 3,00 CORT/DOB 7216.61.90 ACOF/CSN - CHAPA PARA FECHAMENTO LATERAL</t>
  </si>
  <si>
    <t xml:space="preserve">PARAFUSO AUTO BROCANTE </t>
  </si>
  <si>
    <t xml:space="preserve"> 	ENCANADOR OU BOMBEIRO HIDRÁULICO COM ENCARGOS COMPLEMENTARES</t>
  </si>
  <si>
    <t xml:space="preserve"> 	REGISTRO GAVETA BRUTO EM LATAO FORJADO, BITOLA 3/4 " (REF 1509)</t>
  </si>
  <si>
    <t>ADAPTADOR PVC SOLDAVEL CURTO COM BOLSA E ROSCA, 25 MM X 3/4", PARA AGUA FRIA</t>
  </si>
  <si>
    <t>Código:  89383 SINAPI</t>
  </si>
  <si>
    <t>ADAPTADOR CURTO COM BOLSA E ROSCA PARA REGISTRO, PVC, SOLDÁVEL, DN 25MM X 3/4, INSTALADO EM RAMAL OU SUB-RAMAL DE ÁGUA - FORNECIMENTO E INSTALAÇÃO.</t>
  </si>
  <si>
    <t>Código:  89353 SINAPI</t>
  </si>
  <si>
    <t>REGISTRO DE GAVETA BRUTO, LATÃO, ROSCÁVEL, 3/4", FORNECIDO E INSTALADO EM RAMAL DE ÁGUA</t>
  </si>
  <si>
    <t xml:space="preserve">KIT DE REGISTRO DE GAVETA BRUTO DE LATÃO 1 1/4", INCLUSIVE CONEXÕES, ROSCÁVEL, INSTALADO EM RAMAL DE ÁGUA FRIA - FORNECIMENTO E INSTALAÇÃO. </t>
  </si>
  <si>
    <t>Código: COMP 21 SINAPI</t>
  </si>
  <si>
    <t>REGISTRO DE GAVETA BRUTO, LATÃO, ROSCÁVEL, 3, INSTALADO EM RESERVAÇÃO DE ÁGUA DE EDIFICAÇÃO QUE POSSUA RESERVATÓRIO DE FIBRA/FIBROCIMENTO  FORNECIMENTO E INSTALAÇÃO.</t>
  </si>
  <si>
    <t>Código:  94500 SINAPI</t>
  </si>
  <si>
    <t>REGISTRO GAVETA BRUTO EM LATAO FORJADO, BITOLA 3 " (REF 1509)</t>
  </si>
  <si>
    <t>Código:  94501 SINAPI</t>
  </si>
  <si>
    <t>REGISTRO DE GAVETA BRUTO, LATÃO, ROSCÁVEL, 4, INSTALADO EM RESERVAÇÃO DE ÁGUA DE EDIFICAÇÃO QUE POSSUA RESERVATÓRIO DE FIBRA/FIBROCIMENTO  FORNECIMENTO E INSTALAÇÃO.</t>
  </si>
  <si>
    <t>VALVULA DESCARGA COM SENSOR COM REGISTRO, ACABAMENTO EM METAL CROMADO - FORNECIMENTO E INSTALACAO</t>
  </si>
  <si>
    <t>Registro de gaveta acabamento bruto Ø 1 1/4"</t>
  </si>
  <si>
    <t xml:space="preserve"> 	2C 10 12 09 00 07</t>
  </si>
  <si>
    <t>Código:  89972 SINAPI</t>
  </si>
  <si>
    <t xml:space="preserve">KIT DE REGISTRO DE GAVETA BRUTO DE LATÃO ¾", INCLUSIVE CONEXÕES, ROSCÁVEL, INSTALADO EM RAMAL DE ÁGUA FRIA - FORNECIMENTO E INSTALAÇÃO. </t>
  </si>
  <si>
    <t>Código:  89985 SINAPI</t>
  </si>
  <si>
    <t xml:space="preserve">REGISTRO DE PRESSÃO BRUTO, LATÃO, ROSCÁVEL, 3/4", COM ACABAMENTO E CANOPLA CROMADOS. FORNECIDO E INSTALADO EM RAMAL DE ÁGUA. </t>
  </si>
  <si>
    <t>REGISTRO PRESSAO COM ACABAMENTO E CANOPLA CROMADA, SIMPLES, BITOLA 3/4 " (REF 1416)</t>
  </si>
  <si>
    <t>Código:  94655 SINAPI</t>
  </si>
  <si>
    <t>TUBO, PVC, SOLDÁVEL, DN 110 MM, INSTALADO EM RESERVAÇÃO DE ÁGUA DE EDIFICAÇÃO QUE POSSUA RESERVATÓRIO DE FIBRA/FIBROCIMENTO FORNECIMENTO E INSTALAÇÃO</t>
  </si>
  <si>
    <t>TUBO PVC, SOLDAVEL, DN 110 MM, AGUA FRIA (NBR-5648)</t>
  </si>
  <si>
    <t>Código:  89452 SINAPI</t>
  </si>
  <si>
    <t>TUBO, PVC, SOLDÁVEL, DN 85MM, INSTALADO EM PRUMADA DE ÁGUA - FORNECIMENTO E INSTALAÇÃO</t>
  </si>
  <si>
    <t>Código:  89450 SINAPI</t>
  </si>
  <si>
    <t>TUBO, PVC, SOLDÁVEL, DN 60MM, INSTALADO EM PRUMADA DE ÁGUA - FORNECIMENTO E INSTALAÇÃO.</t>
  </si>
  <si>
    <t>TUBO PVC, SOLDAVEL, DN 60 MM, AGUA FRIA (NBR-5648)</t>
  </si>
  <si>
    <t>Código:  89448 SINAPI</t>
  </si>
  <si>
    <t>TUBO, PVC, SOLDÁVEL, DN 40MM, INSTALADO EM PRUMADA DE ÁGUA - FORNECIMENTO E INSTALAÇÃO.</t>
  </si>
  <si>
    <t>TUBO PVC, SOLDAVEL, DN 40 MM, AGUA FRIA (NBR-5648)</t>
  </si>
  <si>
    <t>Código:  89357 SINAPI</t>
  </si>
  <si>
    <t xml:space="preserve">TUBO, PVC, SOLDÁVEL, DN 32MM, INSTALADO EM RAMAL OU SUB-RAMAL DE ÁGUA - FORNECIMENTO E INSTALAÇÃO. </t>
  </si>
  <si>
    <t>TUBO PVC, SOLDAVEL, DN 32 MM, AGUA FRIA (NBR-5648)</t>
  </si>
  <si>
    <t>Código:  89356 SINAPI</t>
  </si>
  <si>
    <t>CAIXA ENTERRADA HIDRÁULICA RETANGULAR EM ALVENARIA COM TIJOLOS CERÂMICOS MACIÇOS, DIMENSÕES INTERNAS: 0,3X0,3X0,7 M PARA REDE DE ESGOTO</t>
  </si>
  <si>
    <t>97901 (base)</t>
  </si>
  <si>
    <t>Código:  COMP 23</t>
  </si>
  <si>
    <t>Código:   COMP 22</t>
  </si>
  <si>
    <t>CAIXA ENTERRADA HIDRÁULICA RETANGULAR EM ALVENARIA COM TIJOLOS CERÂMICOS MACIÇOS, DIMENSÕES INTERNAS: 0,3X0,3X0,4 M PARA REDE DE ESGOTO</t>
  </si>
  <si>
    <t>Código:   COMP 24</t>
  </si>
  <si>
    <t>Código:   COMP 25</t>
  </si>
  <si>
    <t>Código:   COMP 26</t>
  </si>
  <si>
    <t>Código:   COMP 27</t>
  </si>
  <si>
    <t>Código:   COMP 28</t>
  </si>
  <si>
    <t>Código:   COMP 29</t>
  </si>
  <si>
    <t>Código:  COMP 30</t>
  </si>
  <si>
    <t>VALVULA DE DESCARGA METALICA, BASE 1 1/2 " E ACABAMENTO METALICO CROMADO</t>
  </si>
  <si>
    <t>Código:   86887  SINAPI</t>
  </si>
  <si>
    <t>ENCANADOR COM ENCARGOS COMPLEMENTARES</t>
  </si>
  <si>
    <t xml:space="preserve">ENGATE FLEXÍVEL EM INOX, 1/2 X 40CM - FORNECIMENTO E INSTALAÇÃO. </t>
  </si>
  <si>
    <t>Código:   86888 SINAPI</t>
  </si>
  <si>
    <t>VASO SANITÁRIO SIFONADO COM CAIXA ACOPLADA LOUÇA BRANCA - FORNECIMENTO E INSTALAÇÃO.</t>
  </si>
  <si>
    <t xml:space="preserve">6138 	</t>
  </si>
  <si>
    <t>Código:  74234/001 SINAPI</t>
  </si>
  <si>
    <t>MICTORIO SIFONADO DE LOUCA BRANCA COM PERTENCES, COM REGISTRO DE PRESSAO 1/2" COM CANOPLA CROMADA ACABAMENTO SIMPLES E CONJUNTO PARA FIXACAO - FORNECIMENTO E INSTALACAO</t>
  </si>
  <si>
    <t>REGISTRO PRESSAO COM ACABAMENTO E CANOPLA CROMADA, SIMPLES, BITOLA 1/2 " (REF 1416)</t>
  </si>
  <si>
    <t>MICTORIO SIFONADO LOUCA BRANCA SEM COMPLEMENTOS</t>
  </si>
  <si>
    <t>ENGATE / RABICHO FLEXIVEL INOX 1/2 " X 30 CM</t>
  </si>
  <si>
    <t>Código:   86941  SINAPI</t>
  </si>
  <si>
    <t>VÁLVULA EM METAL CROMADO 1.1/2 X 1.1/2 PARA TANQUE OU LAVATÓRIO, COM OU SEM LADRÃO - FORNECIMENTO E INSTALAÇÃO. AF_01/2020</t>
  </si>
  <si>
    <t>SIFÃO DO TIPO GARRAFA EM METAL CROMADO 1 X 1.1/2 - FORNECIMENTO E INSTALAÇÃO.</t>
  </si>
  <si>
    <t xml:space="preserve"> 	ENGATE FLEXÍVEL EM INOX, 1/2 X 40CM - FORNECIMENTO E INSTALAÇÃO. AF_12/2013</t>
  </si>
  <si>
    <t xml:space="preserve"> 	LAVATÓRIO LOUÇA BRANCA COM COLUNA, 45 X 55CM OU EQUIVALENTE, PADRÃO MÉDIO - FORNECIMENTO E INSTALAÇÃO. </t>
  </si>
  <si>
    <t>TORNEIRA CROMADA DE MESA, 1/2 OU 3/4, PARA LAVATÓRIO, PADRÃO MÉDIO - FORNECIMENTO E INSTALAÇÃO.</t>
  </si>
  <si>
    <t>Código:   86919  SINAPI</t>
  </si>
  <si>
    <t xml:space="preserve">TANQUE DE LOUÇA BRANCA COM COLUNA, 30L OU EQUIVALENTE, INCLUSO SIFÃO FLEXÍVEL EM PVC, VÁLVULA METÁLICA E TORNEIRA DE METAL CROMADO PADRÃO MÉDIO - FORNECIMENTO E INSTALAÇÃO. </t>
  </si>
  <si>
    <t xml:space="preserve">TANQUE DE LOUÇA BRANCA COM COLUNA, 30L OU EQUIVALENTE - FORNECIMENTO E INSTALAÇÃO. </t>
  </si>
  <si>
    <t xml:space="preserve"> 	VÁLVULA EM METAL CROMADO 1.1/2 X 1.1/2 PARA TANQUE OU LAVATÓRIO, COM OU SEM LADRÃO - FORNECIMENTO E INSTALAÇÃO. </t>
  </si>
  <si>
    <t>SIFÃO DO TIPO FLEXÍVEL EM PVC 1 X 1.1/2 - FORNECIMENTO E INSTALAÇÃO.</t>
  </si>
  <si>
    <t>TORNEIRA CROMADA DE MESA, 1/2" OU 3/4", PARA LAVATÓRIO, PADRÃO POPULAR - FORNECIMENTO E INSTALAÇÃO.</t>
  </si>
  <si>
    <t>Código:   86910  SINAPI</t>
  </si>
  <si>
    <t>TORNEIRA CROMADA TUBO MÓVEL, DE PAREDE, 1/2 OU 3/4, PARA PIA DE COZINHA, PADRÃO MÉDIO - FORNECIMENTO E INSTALAÇÃO.</t>
  </si>
  <si>
    <t xml:space="preserve">TORNEIRA CROMADA DE PAREDE PARA COZINHA BICA MOVEL COM AREJADOR 1/2 " OU 3/4 " (REF 1168) 	</t>
  </si>
  <si>
    <t>Código:   86881  SINAPI</t>
  </si>
  <si>
    <t xml:space="preserve">SIFAO EM METAL CROMADO PARA PIA OU LAVATORIO, 1 X 1.1/2 "	</t>
  </si>
  <si>
    <t>Código:   86878  SINAPI</t>
  </si>
  <si>
    <t xml:space="preserve">VÁLVULA EM METAL CROMADO TIPO AMERICANA 3.1/2 X 1.1/2 PARA PIA - FORNECIMENTO E INSTALAÇÃO. </t>
  </si>
  <si>
    <t>Código:  100860  SINAPI</t>
  </si>
  <si>
    <t>CHUVEIRO ELÉTRICO COMUM CORPO PLÁSTICO, TIPO DUCHA  FORNECIMENTO E INSTALAÇÃO</t>
  </si>
  <si>
    <t>CHUVEIRO COMUM EM PLASTICO BRANCO, COM CANO, 3 TEMPERATURAS, 5500 W (110/220 V)</t>
  </si>
  <si>
    <t>Código: 3R 23 42 40 00 00 00 05 29  TCPO</t>
  </si>
  <si>
    <t>PREÇO TCPO 06/2020</t>
  </si>
  <si>
    <t>DUCHA MANUAL  (BANHEIRO PNE)</t>
  </si>
  <si>
    <t>2N 36 16 25 12 21</t>
  </si>
  <si>
    <t>2N 36 16 25 15 07</t>
  </si>
  <si>
    <t>Ducha manual padrão popular Ø 1/2"</t>
  </si>
  <si>
    <t>2C 12 05 07 00 05</t>
  </si>
  <si>
    <t>Código:   89973  SINAPI</t>
  </si>
  <si>
    <t xml:space="preserve">KIT DE MISTURADOR BASE BRUTA DE LATÃO ¾" MONOCOMANDO PARA CHUVEIRO, INCLUSIVE CONEXÕES, INSTALADO EM RAMAL DE ÁGUA - FORNECIMENTO E INSTALAÇÃO. </t>
  </si>
  <si>
    <t xml:space="preserve">MISTURADOR MONOCOMANDO PARA CHUVEIRO, BASE BRUTA E ACABAMENTO CROMADO, FORNECIDO E INSTALADO EM RAMAL DE ÁGUA. </t>
  </si>
  <si>
    <t xml:space="preserve">TUBO, CPVC, SOLDÁVEL, DN 22MM, INSTALADO EM RAMAL OU SUB-RAMAL DE ÁGUA - FORNECIMENTO E INSTALAÇÃO. </t>
  </si>
  <si>
    <t xml:space="preserve">JOELHO 90 GRAUS, CPVC, SOLDÁVEL, DN 22MM, INSTALADO EM RAMAL OU SUB-RAMAL DE ÁGUA - FORNECIMENTO E INSTALAÇÃO. </t>
  </si>
  <si>
    <t>JOELHO DE TRANSIÇÃO, 90 GRAUS, CPVC, SOLDÁVEL, DN 22MM X 3/4", INSTALADO EM RAMAL OU SUB-RAMAL DE ÁGUA - FORNECIMENTO E INSTALAÇÃO.</t>
  </si>
  <si>
    <t xml:space="preserve">LUVA DE TRANSIÇÃO, CPVC, SOLDÁVEL, DN22MM X 25MM, INSTALADO EM RAMAL OU SUB-RAMAL DE ÁGUA - FORNECIMENTO E INSTALAÇÃO. </t>
  </si>
  <si>
    <t xml:space="preserve">CONECTOR, CPVC, SOLDÁVEL, DN22MM X 3/4", INSTALADO EM RAMAL OU SUB-RAMAL DE ÁGUA - FORNECIMENTO E INSTALAÇÃO. </t>
  </si>
  <si>
    <t>Preço Unitario  com BDI</t>
  </si>
  <si>
    <t>SARRAFO DE MADEIRA NAO APARELHADA *2,5 X 7* CM, MACARANDUBA, ANGELIM OU EQUIVALENTE DA REGIAO</t>
  </si>
  <si>
    <t>PLACA DE OBRA (PARA CONSTRUCAO CIVIL) EM CHAPA GALVANIZADA *N. 22*, ADESIVADA, DE *2,0 X 1,125* M</t>
  </si>
  <si>
    <t>PONTALETE DE MADEIRA NAO APARELHADA *7,5 X 7,5* CM (3 X 3 ") PINUS, MISTA OU EQUIVALENTE DA REGIAO</t>
  </si>
  <si>
    <t>SINAPI 94296</t>
  </si>
  <si>
    <t>ARMAÇÃO DE BLOCO, VIGA BALDRAME OU SAPATA UTILIZANDO AÇO CA-50 DE 10 MM - MONTAGEM.</t>
  </si>
  <si>
    <t>2.3.6</t>
  </si>
  <si>
    <t>Formas de compensado plastificado 12 mm - uso geral - utilização de 2 vezes - confecção, instalação e retirada</t>
  </si>
  <si>
    <t>SICRO 3 3108012</t>
  </si>
  <si>
    <t>SINAPI 83716</t>
  </si>
  <si>
    <t>2.4.9</t>
  </si>
  <si>
    <t>2.4.10</t>
  </si>
  <si>
    <t>GRELHA FF 30X90CM, 135KG, P/ CX RALO COM ASSENTAMENTO DE ARGAMASSA CIMENTO/AREIA 1:4 - FORNECIMENTO E INSTALAÇÃO</t>
  </si>
  <si>
    <t xml:space="preserve">Código:   83716 SINAPI </t>
  </si>
  <si>
    <t>GRELHA FOFO SIMPLES COM REQUADRO, CARGA MAXIMA 12,5 T, *300 X 1000* MM, E= *15* MM, AREA ESTACIONAMENTO CARRO PASSEIO</t>
  </si>
  <si>
    <t>FORNECIMENTO E  FABRICAÇÃO DE ESTRUTURA METALICA EM AÇO ESTRUTURAL PERFIL I 12 X 5 1/4  (ENTREGUE NA OBRA)</t>
  </si>
  <si>
    <t>PROPORCIONAL AO QUE FOI PAGO</t>
  </si>
  <si>
    <t>3.2</t>
  </si>
  <si>
    <t>DE ACORDO COM O QUE JÁ FOI PAGO</t>
  </si>
  <si>
    <t>PAREDES EM PAINEL WALL - MAT</t>
  </si>
  <si>
    <t>PAREDES EM PAINEL WALL - MO</t>
  </si>
  <si>
    <t>4.1.2</t>
  </si>
  <si>
    <t>TELHAMENTO COM TELHA METÁLICA LÃ DE PET E TELHA PERFURADA E = 65 MM, INCLUSO IÇAMENTO  E INSTALAÇÃO.</t>
  </si>
  <si>
    <t>MO</t>
  </si>
  <si>
    <t>Código:  84647  SINAPI</t>
  </si>
  <si>
    <t xml:space="preserve"> 	MASSA EPOXI BICOMPONENTE (MASSA + CATALIZADOR)</t>
  </si>
  <si>
    <t>TINTA EPOXI PREMIUM, BRANCA</t>
  </si>
  <si>
    <t>PRIMER EPOXI</t>
  </si>
  <si>
    <t>GL</t>
  </si>
  <si>
    <t>Código:  72186  SINAPI</t>
  </si>
  <si>
    <t>PISO DE BORRACHA FRISADO, ESPESSURA 7MM, ASSENTADO COM ARGAMASSA TRACO 1:3 (CIMENTO E AREIA)</t>
  </si>
  <si>
    <t>ARGAMASSA TRAÇO 1:3 (EM VOLUME DE CIMENTO E AREIA MÉDIA ÚMIDA) PARA CONTRAPISO, PREPARO MECÂNICO COM BETONEIRA 400 L</t>
  </si>
  <si>
    <t xml:space="preserve"> 	88309</t>
  </si>
  <si>
    <t>PISO DE BORRACHA FRISADO OU PASTILHADO, PRETO, EM PLACAS 50 X 50 CM, E = 7 MM, PARA ARGAMASSA</t>
  </si>
  <si>
    <t>COMP 21</t>
  </si>
  <si>
    <t>Código:  89984 SINAPI</t>
  </si>
  <si>
    <t>REGISTRO DE PRESSÃO BRUTO, LATÃO, ROSCÁVEL, 1/2", COM ACABAMENTO E CANOPLA CROMADOS. FORNECIDO E INSTALADO EM RAMAL DE ÁGUA.</t>
  </si>
  <si>
    <t>SINAPI  89984</t>
  </si>
  <si>
    <t>85MM</t>
  </si>
  <si>
    <t>SINAPI  94500</t>
  </si>
  <si>
    <t>Código:  40729 SINAPI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</si>
  <si>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</si>
  <si>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</si>
  <si>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</si>
  <si>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</si>
  <si>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</si>
  <si>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</si>
  <si>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</si>
  <si>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</si>
  <si>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</si>
  <si>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</si>
  <si>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</si>
  <si>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</si>
  <si>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8.3.15</t>
  </si>
  <si>
    <t>8.3.16</t>
  </si>
  <si>
    <t>8.3.17</t>
  </si>
  <si>
    <t>8.3.18</t>
  </si>
  <si>
    <t>8.3.19</t>
  </si>
  <si>
    <t>8.3.20</t>
  </si>
  <si>
    <t>8.3.21</t>
  </si>
  <si>
    <t>8.3.22</t>
  </si>
  <si>
    <t>8.3.23</t>
  </si>
  <si>
    <t>8.3.24</t>
  </si>
  <si>
    <t>2C 10 18 00 75 17</t>
  </si>
  <si>
    <t>Junção 45º PVC PBV para esgoto com redução Ø 100 mm x 75 mm</t>
  </si>
  <si>
    <t>2C 10 22 03 00 42</t>
  </si>
  <si>
    <t>Joelho 90º PVC PBV para esgoto Ø 100 mm</t>
  </si>
  <si>
    <t>2C 12 14 00 60 56</t>
  </si>
  <si>
    <t>Tubo PVC PBV para esgoto Ø 100 mm</t>
  </si>
  <si>
    <t>2C 12 14 06 65 47</t>
  </si>
  <si>
    <t>Tê 90º PVC PBV para esgoto Ø 100 mm</t>
  </si>
  <si>
    <t>Ajudante de encanador</t>
  </si>
  <si>
    <t>Encanador</t>
  </si>
  <si>
    <t>2C 10 18 00 75 16</t>
  </si>
  <si>
    <t>Junção 45º PVC PBV para esgoto com redução Ø 100 mm x 50 mm</t>
  </si>
  <si>
    <t>2C 10 22 03 00 40</t>
  </si>
  <si>
    <t>Joelho 90º PVC PBV para esgoto Ø 50 mm</t>
  </si>
  <si>
    <t>2C 12 14 00 60 54</t>
  </si>
  <si>
    <t>Tubo PVC PBV para esgoto Ø 50 mm</t>
  </si>
  <si>
    <t>2C 12 14 06 65 44</t>
  </si>
  <si>
    <t>Tê 90º PVC PBV para esgoto Ø 50 mm</t>
  </si>
  <si>
    <t>Código:  89708  SINAPI</t>
  </si>
  <si>
    <t>ANEL BORRACHA PARA TUBO ESGOTO PREDIAL DN 75 MM (NBR 5688)</t>
  </si>
  <si>
    <t>CAIXA SIFONADA PVC, 150 X 185 X 75 MM, COM GRELHA QUADRADA BRANCA</t>
  </si>
  <si>
    <t>PASTA LUBRIFICANTE PARA TUBOS E CONEXOES COM JUNTA ELASTICA (USO EM PVC, ACO, POLIETILENO E OUTROS) ( DE *400* G)</t>
  </si>
  <si>
    <t>CAIXA SIFONADA, PVC, DN 150 X 185 X 75 MM, JUNTA ELÁSTICA, FORNECIDA E INSTALADA EM RAMAL DE DESCARGA OU EM RAMAL DE ESGOTO SANITÁRIO. AF_12/2014</t>
  </si>
  <si>
    <t>Código:  97900</t>
  </si>
  <si>
    <t>SINAPI</t>
  </si>
  <si>
    <t>CAIXA ENTERRADA HIDRÁULICA RETANGULAR EM ALVENARIA COM TIJOLOS CERÂMICOS MACIÇOS, DIMENSÕES INTERNAS: 0,3X0,3X0,3 M PARA REDE DE ESGOTO</t>
  </si>
  <si>
    <t>COMP 22</t>
  </si>
  <si>
    <t>COMP 23</t>
  </si>
  <si>
    <t>COMP 24</t>
  </si>
  <si>
    <t>COMP 25</t>
  </si>
  <si>
    <t>COMP 26</t>
  </si>
  <si>
    <t>COMP 27</t>
  </si>
  <si>
    <t>COMP 28</t>
  </si>
  <si>
    <t>COMP 29</t>
  </si>
  <si>
    <t>COMP 30</t>
  </si>
  <si>
    <t>COMP 31</t>
  </si>
  <si>
    <t>Código:   COMP 31</t>
  </si>
  <si>
    <t>TUBO DE COBRE COM ISOLAMENTO TÉRMICO - Ø 1/4" MAT+MO</t>
  </si>
  <si>
    <t xml:space="preserve">TCPO 3R 24 24 00 00 00 00 10 06 </t>
  </si>
  <si>
    <t>3R 24 24 00 00 00 00 10 08</t>
  </si>
  <si>
    <t>TUBO DE COBRE COM ISOLAMENTO TÉRMICO - Ø 1/2" MAT+MO</t>
  </si>
  <si>
    <t>3R 27 21 00 00 00 01 04 06</t>
  </si>
  <si>
    <t>ELETRODUTO PVC FLEXÍVEL CORRUGADO Ø 32 MM 1" MAT+MO</t>
  </si>
  <si>
    <t>COMP 32</t>
  </si>
  <si>
    <t>Código:  COMP 32</t>
  </si>
  <si>
    <t>COMP 33</t>
  </si>
  <si>
    <t xml:space="preserve">CAIXA DE PASSAGEM DALSOCHIO DAC-002 2 SAIDAS FORNECIMENTO E INSTALAÇÃO. </t>
  </si>
  <si>
    <t>SINAPI 98111</t>
  </si>
  <si>
    <t xml:space="preserve">CAIXA DE INSPEÇÃO PARA ATERRAMENTO, CIRCULAR, EM POLIETILENO, DIÂMETRO INTERNO = 0,3 M. AF_05/2018 FORNECIMENTO E INSTALAÇÃO. </t>
  </si>
  <si>
    <t>2C 14 16 04 13 05</t>
  </si>
  <si>
    <t xml:space="preserve">Código:  2C 14 16 04 13 05 TCPO </t>
  </si>
  <si>
    <t>SINAPI 39701</t>
  </si>
  <si>
    <t xml:space="preserve">FITA ADESIVA SYLVER TAPE 48 X 30 MTS PRETA PC 5 </t>
  </si>
  <si>
    <t>Código:  COMP 33</t>
  </si>
  <si>
    <t xml:space="preserve">CABO PP 6 X 2,5 MM FLEXIVEL FORNECIMENTO E INSTALAÇÃO. </t>
  </si>
  <si>
    <t>AJUDANTE GERAL</t>
  </si>
  <si>
    <t>Código: COMP 34</t>
  </si>
  <si>
    <t>PRÓPRIA REF 401326 TCPO</t>
  </si>
  <si>
    <t>F200010000</t>
  </si>
  <si>
    <t>F200040000</t>
  </si>
  <si>
    <t>CABO PP 6 X 2,5 MM FLEXIVEL</t>
  </si>
  <si>
    <t>COMP 34</t>
  </si>
  <si>
    <t xml:space="preserve">CABO DE COBRE ISOLADO FLEXIVEL 750V 16MM2 - FORNECIMENTO E INSTALAÇÃO. </t>
  </si>
  <si>
    <t>CDHU 134130</t>
  </si>
  <si>
    <t>Código: 134130</t>
  </si>
  <si>
    <t>CABO DE COBRE ISOLAMENTO ANTI-CHAMA 450/750V 16MM2, FLEXIVEL, TP FORESPLAST ALCOA OU EQUIV</t>
  </si>
  <si>
    <t xml:space="preserve">CONECTOR EM AÇO CROMADO PARA HASTE TERRA Ø 3/4" FORNECIMENTO E INSTALAÇÃO. </t>
  </si>
  <si>
    <t xml:space="preserve">TERMINAL A COMPRESSAO DE COBRE TIPO OLHAL 16MM2 FORNECIMENTO E INSTALAÇÃO. </t>
  </si>
  <si>
    <t>COMP 35</t>
  </si>
  <si>
    <t>Código:  COMP 35</t>
  </si>
  <si>
    <t>8.5.9</t>
  </si>
  <si>
    <t>8.5.10</t>
  </si>
  <si>
    <t>8.5.11</t>
  </si>
  <si>
    <t>8.5.12</t>
  </si>
  <si>
    <t>8.5.13</t>
  </si>
  <si>
    <t>8.5.14</t>
  </si>
  <si>
    <t>8.5.15</t>
  </si>
  <si>
    <t>8.5.16</t>
  </si>
  <si>
    <t>8.5.17</t>
  </si>
  <si>
    <t>8.5.18</t>
  </si>
  <si>
    <t>8.5.19</t>
  </si>
  <si>
    <t>8.5.20</t>
  </si>
  <si>
    <t>8.5.21</t>
  </si>
  <si>
    <t>8.5.22</t>
  </si>
  <si>
    <t>8.5.23</t>
  </si>
  <si>
    <t>8.5.24</t>
  </si>
  <si>
    <t>8.5.25</t>
  </si>
  <si>
    <t>8.5.26</t>
  </si>
  <si>
    <t>8.5.27</t>
  </si>
  <si>
    <t>8.5.28</t>
  </si>
  <si>
    <t>8.5.29</t>
  </si>
  <si>
    <t>8.5.30</t>
  </si>
  <si>
    <t>8.5.31</t>
  </si>
  <si>
    <t>8.5.32</t>
  </si>
  <si>
    <t>8.5.33</t>
  </si>
  <si>
    <t>8.5.34</t>
  </si>
  <si>
    <t>8.5.35</t>
  </si>
  <si>
    <t>Código:   86942  SINAPI</t>
  </si>
  <si>
    <t>SINAPI  100860</t>
  </si>
  <si>
    <t>Código:   18.016.0106-0  EMOP</t>
  </si>
  <si>
    <t>01968-E</t>
  </si>
  <si>
    <t>MAO-DE-OBRA DE PEDREIRO, INCLUSIVE ENCAR GOS SOCIAIS</t>
  </si>
  <si>
    <t xml:space="preserve"> 	MAO-DE-OBRA DE SERVENTE DA CONSTRUCAO CI VIL, INCLUSIVE ENCARGOS SOCIAIS</t>
  </si>
  <si>
    <t>01999-E</t>
  </si>
  <si>
    <t>Código:   18.016.0108-0  EMOP</t>
  </si>
  <si>
    <t>BARRA DE APOIO, EM ACO INOXIDAVEL AISI 3 04, TUBO 1.1/4", INCL. PARAFUSOS INOX. E BUCHAS PLAST. COM 70CM</t>
  </si>
  <si>
    <t>14490-E</t>
  </si>
  <si>
    <t>Código:   18.016.0105-0  EMOP</t>
  </si>
  <si>
    <t>BARRA DE APOIO, EM ACO INOXIDAVEL AISI 3 04, TUBO DE 1.1/4", COM 50CM</t>
  </si>
  <si>
    <t>13146-E</t>
  </si>
  <si>
    <t>Código:   18.016.0140-0  EMOP</t>
  </si>
  <si>
    <t>BANCO ARTICULADO, COM CANTOS ARRENDODADO S, DIMENSOES MINIMAS 0,45X0,70M, EM ACO INOXIDAVEL AISI 304, TUBO DE 1.1/4"</t>
  </si>
  <si>
    <t>14487-E</t>
  </si>
  <si>
    <t xml:space="preserve"> SINAPI 72553</t>
  </si>
  <si>
    <t>SINAPI 73775/002</t>
  </si>
  <si>
    <t>SINAPI 84665</t>
  </si>
  <si>
    <t>SEINFRA C3017</t>
  </si>
  <si>
    <t>ANEL BORRACHA PARA TUBO ESGOTO PREDIAL DN 50 MM (NBR 5688)</t>
  </si>
  <si>
    <t>9.4.12</t>
  </si>
  <si>
    <t>9.4.13</t>
  </si>
  <si>
    <t>EMOP 04.005.0300-0</t>
  </si>
  <si>
    <t>TRANSPORTE DE CONTAINER</t>
  </si>
  <si>
    <t>EMOP  04.013.0015-0</t>
  </si>
  <si>
    <t>CARGA E DESCARGA DE CONTAINER</t>
  </si>
  <si>
    <t>1.2.6</t>
  </si>
  <si>
    <t>1.2.7</t>
  </si>
  <si>
    <t>PAINEL WALL PARA PISO   2500 x 1200 X 40 - MO</t>
  </si>
  <si>
    <t>Base Sinapi 06/2020</t>
  </si>
  <si>
    <t>ORSE 11749</t>
  </si>
  <si>
    <t>ELETRODUTO METALICO FLEXIVEL REVESTIDO EXTERNAMENTE COM PVC PRETO, DIAMETRO EXTERNO DE 25 MM (3/4"), TIPO SEALTUBO</t>
  </si>
  <si>
    <t>SINAPI 93141</t>
  </si>
  <si>
    <t>ELETRODUTO PVC FLEXÍVEL - MANGUEIRA CORRUGADA LEVE - DIAM. 20MM</t>
  </si>
  <si>
    <t>SINAPI 91981</t>
  </si>
  <si>
    <t>INTERRUPTOR BIPOLAR (1 MÓDULO), 10A/250V, INCLUINDO SUPORTE E PLACA - FORNECIMENTO E INSTALAÇÃO. EM CONFORMIDADE COM O PROJETO</t>
  </si>
  <si>
    <t>SINAPI 91925</t>
  </si>
  <si>
    <t>CABO DE COBRE FLEXÍVEL ISOLADO, 1,5 MM², ANTI-CHAMA 0,6/1,0 KV, PARA CIRCUITOS TERMINAIS - FORNECIMENTO E INSTALAÇÃO. AF_12/2015</t>
  </si>
  <si>
    <t>SINAPI 91927</t>
  </si>
  <si>
    <t>SINAPI 91931</t>
  </si>
  <si>
    <t>CABO DE COBRE FLEXÍVEL ISOLADO, 6,00 MM², ANTI-CHAMA 0,6/1,0 KV, PARA CIRCUITOS TERMINAIS - FORNECIMENTO E INSTALAÇÃO. AF_12/2017</t>
  </si>
  <si>
    <t xml:space="preserve">un </t>
  </si>
  <si>
    <t>SINAPI 96562</t>
  </si>
  <si>
    <t>PERFILADO DE SEÇÃO 38X76 MM PARA SUPORTE DE ELETROCALHA LISA OU PERFURADA EM AÇO GALVANIZADO, LARGURA 200 OU 400 MM E ALTURA 50 MM. AF_07/2017 (chuveiro, ar condicionado, coifa)</t>
  </si>
  <si>
    <t>SINAPI 91183</t>
  </si>
  <si>
    <t>FIXAÇÃO DE TUBOS HORIZONTAIS DE PPR DIÂMETROS MAIORES QUE 40 MM E MENORES OU IGUAIS A 75 MM COM ABRAÇADEIRA METÁLICA FLEXÍVEL 18 MM, FIXADA DIRETAMENTE NA LAJE. AF_05/2015</t>
  </si>
  <si>
    <t>SINAPI 11817</t>
  </si>
  <si>
    <t>BOX RETO EM ALUMÍNIO DE 1"</t>
  </si>
  <si>
    <t>SINAPI 95802</t>
  </si>
  <si>
    <t>CONDULETE DE ALUMÍNIO, TIPO X, PARA ELETRODUTO DE AÇO GALVANIZADO DN 25 MM</t>
  </si>
  <si>
    <t>CPOS 69.03.310</t>
  </si>
  <si>
    <t>CAIXA DE TOMADA EM POLIAMIDA E TAMPA PARA PISO ELEVADO, COM 4 ALOJAMENTOS PARA ELÉTRICA E ATÉ 8 ALOJAMENTOS PARA TELEFONIA E DADOS</t>
  </si>
  <si>
    <t>CPOS 40.04.096</t>
  </si>
  <si>
    <t>TOMADA RJ 45 PARA REDE DE DADOS, COM PLACA</t>
  </si>
  <si>
    <t>SINAPI 92018</t>
  </si>
  <si>
    <t>TOMADA BAIXA DE EMBUTIR (4 MÓDULOS), 2P+T 10 A, SEM SUPORTE E SEM PLACA - FORNECIMENTO E INSTALAÇÃO. AF_12/2015</t>
  </si>
  <si>
    <t>SINAPI 92008</t>
  </si>
  <si>
    <t>TOMADA BAIXA DE EMBUTIR (2 MÓDULOS), 2P+T 10 A, INCLUINDO SUPORTE E PLACA - FORNECIMENTO E INSTALAÇÃO. AF_12/2015</t>
  </si>
  <si>
    <t>SINAPI 92012</t>
  </si>
  <si>
    <t>TOMADA MÉDIA DE EMBUTIR (3 MÓDULOS), 2P+T 10 A, INCLUINDO SUPORTE E PLACA - FORNECIMENTO E INSTALAÇÃO. AF_12/2016</t>
  </si>
  <si>
    <t>SEINFRA C3679</t>
  </si>
  <si>
    <t>PONTO PARA CAIXAS DE SOM</t>
  </si>
  <si>
    <t>SINAPI 97593</t>
  </si>
  <si>
    <t>LUMINÁRIA TIPO SPOT, DE SOBREPOR, COM 1 LÂMPADA DE 15W - FORNECIMENTO E INSTALAÇÃO.</t>
  </si>
  <si>
    <t>LUMINÁRIA TIPO PLAFON, DE SOBREPOR, COM 1 LÂMPADA LED - FORNECIMENTO E INSTALAÇÃO.</t>
  </si>
  <si>
    <t>EMOP 15.007.0501-A</t>
  </si>
  <si>
    <t>EMOP 15.007.0415-A</t>
  </si>
  <si>
    <t>EMOP 15.007.0507-A</t>
  </si>
  <si>
    <t>SBC 064331</t>
  </si>
  <si>
    <t>INSTALAÇÃO DE DISJUNTOR 3X63A</t>
  </si>
  <si>
    <t>SBC 064410</t>
  </si>
  <si>
    <t>INSTALAÇÃO DE DISJUNTOR 3X80A</t>
  </si>
  <si>
    <t>SINAPI ELE-DIS-048</t>
  </si>
  <si>
    <t>INSTALAÇÃO DEDISJUNTOR 3X100A</t>
  </si>
  <si>
    <t>IOPES 151332</t>
  </si>
  <si>
    <t>INSTALAÇÃO DE DISJUNTOR 3X125A</t>
  </si>
  <si>
    <t>INSTALAÇÃO DEDISJUNTOR 1X16A</t>
  </si>
  <si>
    <t>INSTALAÇÃO DE DISJUNTOR 1X32A</t>
  </si>
  <si>
    <t>INSTALAÇÃO DE DISJUNTOR 2X16A</t>
  </si>
  <si>
    <t>INSTALAÇÃO DE DISJUNTOR 3X30A</t>
  </si>
  <si>
    <t>INSTALAÇÃO DE DISJUNTOR 2X32A</t>
  </si>
  <si>
    <t>INSTALAÇÃO DE DISJUNTOR 2X40A</t>
  </si>
  <si>
    <t>CAERN 2070221</t>
  </si>
  <si>
    <t>SUBESTAÇÃO ÁEREA COMPLETA 225 KVA/13.800-380/220V, INCLUSIVE QUADRO DE MEDIÇÃO, PROTEÇÃO GERAL, POSTES, CRUZETAS, TRANSFORMADOR, LIGAÇÃO E MURETA. CONFORME PROJETO</t>
  </si>
  <si>
    <t>EMOP 15.036.0140-0</t>
  </si>
  <si>
    <t>FORNECIENTO E INSTALAÇÃO DE ELETRODUTO EM PVC FLEXIVEL REFORÇADO DE 4'(100 MM²), PARA INTERLIGAÇÃO DAS CAIXAS DE ENTRADA CONFORME O PROJETO</t>
  </si>
  <si>
    <t>EMOP 15.036.0142-3</t>
  </si>
  <si>
    <t>FORNECIENTO E INSTALAÇÃO DE ELETRODUTO EM PVC FLEXIVEL REFORÇADO DE 3'(75 MM²), PARA INTERLIGAÇÃO DAS CAIXAS DE ENTRADA CONFORME O PROJETO</t>
  </si>
  <si>
    <t>EMOP 15.036.0147-2</t>
  </si>
  <si>
    <t>FORNECIENTO E INSTALAÇÃO DE ELETRODUTO EM PVC FLEXIVEL REFORÇADO DE 2'(50 MM²), PARA INTERLIGAÇÃO DAS CAIXAS DE ENTRADA CONFORME O PROJETO</t>
  </si>
  <si>
    <t>TCPO 3R 27 21 00 00 00 01 24 18</t>
  </si>
  <si>
    <t>FORNECIENTO E INSTALAÇÃO DE ELETRODUTO EM PVC RIGIDO ROSCAVEL, INCLUISVE CONEXÕES DE 1 '(32 MM²), PARA INTERLIGAÇÃO DAS CAIXAS DE ENTRADA CONFORME O PROJETO</t>
  </si>
  <si>
    <t>ORSE 6386</t>
  </si>
  <si>
    <t>CAIXA DE PASSAGEM 80 X 80</t>
  </si>
  <si>
    <t>ORSE 83450</t>
  </si>
  <si>
    <t>CAIXA DE PASSAGEM 40 x 40</t>
  </si>
  <si>
    <t>SINAPI 74131/7U</t>
  </si>
  <si>
    <t>QUADRO DE DISTRIBUÍÇÃO GERAL COM BARRAMENTO TRIFÁSICO DE 150 A- FORNECIMENTO E MONTAGEM</t>
  </si>
  <si>
    <t>SEINFRA C1103</t>
  </si>
  <si>
    <t>DISJUNTOR TRIPOLAR DE 1000 A, FORNECIMENTO E INSTALAÇÃO</t>
  </si>
  <si>
    <t>SINAPI 92998</t>
  </si>
  <si>
    <t>CABO DE COBRE FLEXÍVEL ISOLADO, 185 MM², ANTI-CHAMA 0,6/1,0 KV, PARA DISTRIBUIÇÃO - FORNECIMENTO E INSTALAÇÃO.</t>
  </si>
  <si>
    <t xml:space="preserve">m </t>
  </si>
  <si>
    <t>SINAPI 92992</t>
  </si>
  <si>
    <t>CABO DE COBRE FLEXÍVEL ISOLADO, 95 MM², ANTI-CHAMA 0,6/1,0 KV, PARA DISTRIBUIÇÃO - FORNECIMENTO E INSTALAÇÃO.</t>
  </si>
  <si>
    <t>CABO DE COBRE FLEXÍVEL ISOLADO, 35 MM², ANTI-CHAMA 0,6/1,0 KV, PARA DISTRIBUIÇÃO - FORNECIMENTO E INSTALAÇÃO.</t>
  </si>
  <si>
    <t>CABO DE COBRE FLEXÍVEL ISOLADO, 25 MM², ANTI-CHAMA 0,6/1,0 KV, PARA DISTRIBUIÇÃO - FORNECIMENTO E INSTALAÇÃO.</t>
  </si>
  <si>
    <t>CABO DE COBRE FLEXÍVEL ISOLADO, 16 MM², ANTI-CHAMA 0,6/1,0 KV, PARA DISTRIBUIÇÃO - FORNECIMENTO E INSTALAÇÃO.</t>
  </si>
  <si>
    <t>CABO DE COBRE FLEXÍVEL ISOLADO, 4 MM², ANTI-CHAMA 0,6/1,0 KV, PARA DISTRIBUIÇÃO - FORNECIMENTO E INSTALAÇÃO.</t>
  </si>
  <si>
    <t>SINAPI 89957</t>
  </si>
  <si>
    <t>PONTO DE CONSUMO TERMINAL DE ÁGUA FRIA (SUBRAMAL) COM TUBULAÇÃO DE PVC, DN 25 MM, INSTALADO EM RAMAL DE ÁGUA, INCLUSOS RASGO E CHUMBAMENTO EM ALVENARIA.</t>
  </si>
  <si>
    <t>SINAPI 89984</t>
  </si>
  <si>
    <t>SINAPI 89985</t>
  </si>
  <si>
    <t>SINAPI 94500</t>
  </si>
  <si>
    <t>SINAPI 94501</t>
  </si>
  <si>
    <t>SINAPI 89452</t>
  </si>
  <si>
    <t>SINAPI 89450</t>
  </si>
  <si>
    <t>SINAPI 89448</t>
  </si>
  <si>
    <t>SINAPI 89357</t>
  </si>
  <si>
    <t>SINAPI 89356</t>
  </si>
  <si>
    <t>8.1.33</t>
  </si>
  <si>
    <t>8.1.34</t>
  </si>
  <si>
    <t>8.1.35</t>
  </si>
  <si>
    <t>8.1.36</t>
  </si>
  <si>
    <t>8.1.37</t>
  </si>
  <si>
    <t>8.1.38</t>
  </si>
  <si>
    <t>8.1.39</t>
  </si>
  <si>
    <t>8.1.40</t>
  </si>
  <si>
    <t>8.1.41</t>
  </si>
  <si>
    <t>8.1.42</t>
  </si>
  <si>
    <t>8.1.43</t>
  </si>
  <si>
    <t>8.1.44</t>
  </si>
  <si>
    <t>8.1.45</t>
  </si>
  <si>
    <t>8.1.46</t>
  </si>
  <si>
    <t>8.1.47</t>
  </si>
  <si>
    <t>8.1.48</t>
  </si>
  <si>
    <t>8.1.49</t>
  </si>
  <si>
    <t>8.1.50</t>
  </si>
  <si>
    <t>8.1.51</t>
  </si>
  <si>
    <t>8.1.52</t>
  </si>
  <si>
    <t>8.1.53</t>
  </si>
  <si>
    <t>8.1.54</t>
  </si>
  <si>
    <t>8.1.55</t>
  </si>
  <si>
    <t>8.1.56</t>
  </si>
  <si>
    <t>8.1.57</t>
  </si>
  <si>
    <t>8.1.58</t>
  </si>
  <si>
    <t>8.1.59</t>
  </si>
  <si>
    <t>8.1.60</t>
  </si>
  <si>
    <t>8.1.61</t>
  </si>
  <si>
    <t>SISTEMA DE COBERTURA EM TABICA DE MADEIRA REGIONAL CONFORME DETALHE EM PRACHA ARQUITETÔNICA</t>
  </si>
  <si>
    <r>
      <t xml:space="preserve">PEÇA DE  CUMARU OU IPÊ </t>
    </r>
    <r>
      <rPr>
        <sz val="8"/>
        <rFont val="Calibri"/>
        <family val="2"/>
      </rPr>
      <t>E 2,5x0,05x0,023m</t>
    </r>
  </si>
  <si>
    <t>pç</t>
  </si>
  <si>
    <t xml:space="preserve">MADEIRA </t>
  </si>
  <si>
    <t xml:space="preserve">CAIXA ENTERRADA HIDRÁULICA RETANGULAR EM ALVENARIA COM TIJOLOS CERÂMICOS MACIÇOS, DIMENSÕES INTERNAS: 1X1X0,6 M PARA REDE DE DRENAGEM. </t>
  </si>
  <si>
    <t>SINAPI 99257</t>
  </si>
  <si>
    <t xml:space="preserve"> 	RETROESCAVADEIRA SOBRE RODAS COM CARREGADEIRA, TRAÇÃO 4X4, POTÊNCIA LÍQ. 88 HP, CAÇAMBA CARREG. CAP. MÍN. 1 M3, CAÇAMBA RETRO CAP. 0,26 M3, PESO OPERACIONAL MÍN. 6.674 KG, PROFUNDIDADE ESCAVAÇÃO MÁX. 4,37 M - MATERIAIS NA OPERAÇÃO. </t>
  </si>
  <si>
    <t>53786 SINAPI MT 2020</t>
  </si>
  <si>
    <t xml:space="preserve">Código:   99257 SINAPI </t>
  </si>
  <si>
    <t>CAIXA ENTERRADA HIDRÁULICA RETANGULAR EM ALVENARIA COM TIJOLOS CERÂMICOS MACIÇOS, DIMENSÕES INTERNAS: 1X1X0,6 M PARA REDE DE DRENAGEM</t>
  </si>
  <si>
    <t>RETROESCAVADEIRA SOBRE RODAS COM CARREGADEIRA, TRAÇÃO 4X4, POTÊNCIA LÍQ. 88 HP, CAÇAMBA CARREG. CAP. MÍN. 1 M3, CAÇAMBA RETRO CAP. 0,26 M3, PESO OPERACIONAL MÍN. 6.674 KG, PROFUNDIDADE ESCAVAÇÃO MÁX. 4,37 M - CHI DIURNO.</t>
  </si>
  <si>
    <t xml:space="preserve">PREPARO DE FUNDO DE VALA COM LARGURA MAIOR OU IGUAL A 1,5 M E MENOR QUE 2,5 M, EM LOCAL COM NÍVEL BAIXO DE INTERFERÊNCIA. </t>
  </si>
  <si>
    <t>Código:   94099 SINAPI MT</t>
  </si>
  <si>
    <t>97736 SINAPI MT 05/2018</t>
  </si>
  <si>
    <t>PEÇA RETANGULAR PRÉ-MOLDADA, VOLUME DE CONCRETO ACIMA DE 100 LITROS, TAXA DE AÇO APROXIMADA DE 30KG/M³.</t>
  </si>
  <si>
    <t>9.1.10</t>
  </si>
  <si>
    <t>Código:   COMP 32 PRÓPRIA</t>
  </si>
  <si>
    <t>ASSENTAMENTO DE PÓRTICO DE MADEIRA</t>
  </si>
  <si>
    <t>Pilar 0,20 x 0,20 x 3,00 Itaúba Plainada</t>
  </si>
  <si>
    <t>PORTAL DE ITAUBA</t>
  </si>
  <si>
    <t>Viga 0,20 x 0,20 x 2,50 Itaúba Plainada</t>
  </si>
  <si>
    <t>chapa de ligação</t>
  </si>
  <si>
    <t>parafusos de ligação</t>
  </si>
  <si>
    <t>vb</t>
  </si>
  <si>
    <t>DIAS</t>
  </si>
  <si>
    <t>SALDO</t>
  </si>
  <si>
    <t>PESO</t>
  </si>
  <si>
    <t>VALOR R$</t>
  </si>
  <si>
    <t>PERC. (%)</t>
  </si>
  <si>
    <t>INSTALAÇÕES PROVISÓRIAS</t>
  </si>
  <si>
    <t>DESPESAS E ENCARGOS MENSAIS</t>
  </si>
  <si>
    <t>ADMINISTRAÇÃO DA OBRA</t>
  </si>
  <si>
    <t>DEMOLIÇÕES E RETIRADAS</t>
  </si>
  <si>
    <t>LOCAÇÃO</t>
  </si>
  <si>
    <t>TRABALHOS EM TERRA</t>
  </si>
  <si>
    <t>FUNDAÇÕES</t>
  </si>
  <si>
    <t>DRENAGEM</t>
  </si>
  <si>
    <t>PAINÉIS</t>
  </si>
  <si>
    <t>ESQUADRIAS</t>
  </si>
  <si>
    <t>VIDROS</t>
  </si>
  <si>
    <t>REVESTIMENTO CERÂMICO</t>
  </si>
  <si>
    <t>PINTURAS</t>
  </si>
  <si>
    <t>INSTALAÇÕES ELÉTRICAS</t>
  </si>
  <si>
    <t>INSTALAÇÕES DE ÁGUA FRIA</t>
  </si>
  <si>
    <t>INSTALAÇÕES DE ESGOTO SANITÁRIO</t>
  </si>
  <si>
    <t>INSTALAÇÕES DE AR CONDICIONADO</t>
  </si>
  <si>
    <t>8.6</t>
  </si>
  <si>
    <t>LOUÇAS E METAIS</t>
  </si>
  <si>
    <t>INCÊNDIO</t>
  </si>
  <si>
    <t>EQUIPAMENTOS PARA COZINHA</t>
  </si>
  <si>
    <t>ABRIGO CONTAINER DE LIXO</t>
  </si>
  <si>
    <t>ABRIGO DE GÁS</t>
  </si>
  <si>
    <t>GRADIL E PORTÕES DE ACESSO</t>
  </si>
  <si>
    <t>LIMPEZA</t>
  </si>
  <si>
    <t>8.6.1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</si>
  <si>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</si>
  <si>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</si>
  <si>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</si>
  <si>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</si>
  <si>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</si>
  <si>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</si>
  <si>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</si>
  <si>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</si>
  <si>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</si>
  <si>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</si>
  <si>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</si>
  <si>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</si>
  <si>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</si>
  <si>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</si>
  <si>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</si>
  <si>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8.7.17</t>
  </si>
  <si>
    <t>GUARDA-CORPO</t>
  </si>
  <si>
    <t>CABO DE COBRE FLEXÍVEL ISOLADO, 2,5 MM², ANTI-CHAMA 0,6/1,0 KV, PARA CIRCUITOS TERMINAIS - FORNECIMENTO E INSTALAÇÃO. AF_12/2016 - NEUTRO</t>
  </si>
  <si>
    <t>CABO DE COBRE FLEXÍVEL ISOLADO, 2,5 MM², ANTI-CHAMA 0,6/1,0 KV, PARA CIRCUITOS TERMINAIS - FORNECIMENTO E INSTALAÇÃO. AF_12/2016 - FASE</t>
  </si>
  <si>
    <t>CABO DE COBRE FLEXÍVEL ISOLADO, 2,5 MM², ANTI-CHAMA 0,6/1,0 KV, PARA CIRCUITOS TERMINAIS - FORNECIMENTO E INSTALAÇÃO. AF_12/2016 - TERRA</t>
  </si>
  <si>
    <t>CABO DE COBRE FLEXÍVEL ISOLADO, 2,5 MM², ANTI-CHAMA 0,6/1,0 KV, PARA CIRCUITOS TERMINAIS - FORNECIMENTO E INSTALAÇÃO. AF_12/2016 - RETORNO</t>
  </si>
  <si>
    <t>CABO DE COBRE FLEXÍVEL ISOLADO, 4 MM², ANTI-CHAMA 450/750 V, PARA CIRCUITOS TERMINAIS - FORNECIMENTO E INSTALAÇÃO. AF_12/2015 - FASE</t>
  </si>
  <si>
    <t>CABO DE COBRE FLEXÍVEL ISOLADO, 4 MM², ANTI-CHAMA 450/750 V, PARA CIRCUITOS TERMINAIS - FORNECIMENTO E INSTALAÇÃO. AF_12/2015 - NEUTRO</t>
  </si>
  <si>
    <t>CABO DE COBRE FLEXÍVEL ISOLADO, 4 MM², ANTI-CHAMA 450/750 V, PARA CIRCUITOS TERMINAIS - FORNECIMENTO E INSTALAÇÃO. AF_12/2015 - TERRA</t>
  </si>
  <si>
    <t>SINAPI 91928</t>
  </si>
  <si>
    <t>CABO DE COBRE FLEXÍVEL ISOLADO, 16 MM², ANTI-CHAMA 450/750 V, PARA DISTRIBUIÇÃO - FORNECIMENTO E INSTALAÇÃO. AF_12/2015 - FASE</t>
  </si>
  <si>
    <t>CABO DE COBRE FLEXÍVEL ISOLADO, 16 MM², ANTI-CHAMA 450/750 V, PARA DISTRIBUIÇÃO - FORNECIMENTO E INSTALAÇÃO. AF_12/2015 - NEUTRO</t>
  </si>
  <si>
    <t>CABO DE COBRE FLEXÍVEL ISOLADO, 16 MM², ANTI-CHAMA 450/750 V, PARA DISTRIBUIÇÃO - FORNECIMENTO E INSTALAÇÃO. AF_12/2015 - TERRA</t>
  </si>
  <si>
    <t>SINAPI 92981</t>
  </si>
  <si>
    <t xml:space="preserve">	CABO DE COBRE FLEXÍVEL ISOLADO, 25 MM², ANTI-CHAMA 450/750 V, PARA DISTRIBUIÇÃO - FORNECIMENTO E INSTALAÇÃO. AF_12/2015 - FASE</t>
  </si>
  <si>
    <t xml:space="preserve">	CABO DE COBRE FLEXÍVEL ISOLADO, 25 MM², ANTI-CHAMA 450/750 V, PARA DISTRIBUIÇÃO - FORNECIMENTO E INSTALAÇÃO. AF_12/2015 - NEUTRO</t>
  </si>
  <si>
    <t xml:space="preserve">	CABO DE COBRE FLEXÍVEL ISOLADO, 25 MM², ANTI-CHAMA 450/750 V, PARA DISTRIBUIÇÃO - FORNECIMENTO E INSTALAÇÃO. AF_12/2015 - TERRA</t>
  </si>
  <si>
    <t>SINAPI 92983</t>
  </si>
  <si>
    <t>SINAPI 97606</t>
  </si>
  <si>
    <t>LUMINÁRIA ARANDELA TIPO MEIA LUA, DE SOBREPOR, COM 1 LÂMPADA FLUORESCENTE DE 15 W, SEM REATOR - FORNECIMENTO E INSTALAÇÃO. AF_02/2020</t>
  </si>
  <si>
    <t>8.1.10</t>
  </si>
  <si>
    <t>8.1.62</t>
  </si>
  <si>
    <t>8.1.63</t>
  </si>
  <si>
    <t>8.1.64</t>
  </si>
  <si>
    <t>8.1.65</t>
  </si>
  <si>
    <t>8.1.66</t>
  </si>
  <si>
    <t>8.1.67</t>
  </si>
  <si>
    <t>8.1.68</t>
  </si>
  <si>
    <t>8.1.69</t>
  </si>
  <si>
    <t>8.1.70</t>
  </si>
  <si>
    <t>8.1.71</t>
  </si>
  <si>
    <t>8.1.72</t>
  </si>
  <si>
    <t>8.1.73</t>
  </si>
  <si>
    <t>9.4.14</t>
  </si>
  <si>
    <t>Código:   COMP 33 PRÓPRIA</t>
  </si>
  <si>
    <t>GUARDA-CORPO E CORRIMÃO</t>
  </si>
  <si>
    <t>Código:   90823 SINAPI MT</t>
  </si>
  <si>
    <t xml:space="preserve">PORTA DE MADEIRA PARA PINTURA, SEMI-OCA (LEVE OU MÉDIA), 90X210CM, ESPESSURA DE 3,5CM, INCLUSO DOBRADIÇAS - FORNECIMENTO E INSTALAÇÃO. </t>
  </si>
  <si>
    <t xml:space="preserve"> 	CARPINTEIRO DE ESQUADRIA COM ENCARGOS COMPLEMENTARES</t>
  </si>
  <si>
    <t>DOBRADICA EM ACO/FERRO, 3 1/2" X 3", E= 1,9 A 2 MM, COM ANEL, CROMADO OU ZINCADO, TAMPA BOLA, COM PARAFUSOS</t>
  </si>
  <si>
    <t xml:space="preserve"> 	PORTA DE MADEIRA, FOLHA MEDIA (NBR 15930) DE 90 X 210 CM, E = 35 MM, NUCLEO SARRAFEADO, CAPA LISA EM HDF, ACABAMENTO EM PRIMER PARA PINTURA</t>
  </si>
  <si>
    <t>PARAFUSO ROSCA SOBERBA ZINCADO CABECA CHATA FENDA SIMPLES 3,5 X 25 MM (1 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</si>
</sst>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3" formatCode="_-* #,##0.00_-;\-* #,##0.00_-;_-* &quot;-&quot;??_-;_-@_-"/>
    <numFmt numFmtId="164" formatCode="&quot;R$&quot;\ #,##0;[Red]\-&quot;R$&quot;\ #,##0"/>
    <numFmt numFmtId="165" formatCode="&quot;R$&quot;\ #,##0.00;[Red]\-&quot;R$&quot;\ #,##0.00"/>
    <numFmt numFmtId="166" formatCode="_(* #,##0.00_);_(* \(#,##0.00\);_(* &quot;-&quot;??_);_(@_)"/>
    <numFmt numFmtId="167" formatCode="[$€]#,##0.00_);[Red]\([$€]#,##0.00\)"/>
    <numFmt numFmtId="168" formatCode="_([$€]\ * #,##0.00_);_([$€]\ * \(#,##0.00\);_([$€]\ * &quot;-&quot;??_);_(@_)"/>
    <numFmt numFmtId="169" formatCode="_(&quot;R$&quot;* #,##0.00_);_(&quot;R$&quot;* \(#,##0.00\);_(&quot;R$&quot;* &quot;-&quot;??_);_(@_)"/>
    <numFmt numFmtId="170" formatCode="_(&quot;R$ &quot;* #,##0.00_);_(&quot;R$ &quot;* \(#,##0.00\);_(&quot;R$ &quot;* &quot;-&quot;??_);_(@_)"/>
    <numFmt numFmtId="171" formatCode="&quot;R$&quot;#,##0_);[Red]\(&quot;R$&quot;#,##0\)"/>
    <numFmt numFmtId="172" formatCode="&quot;R$&quot;#,##0_);\(&quot;R$&quot;#,##0\)"/>
    <numFmt numFmtId="173" formatCode="00"/>
    <numFmt numFmtId="174" formatCode="#,##0.000"/>
    <numFmt numFmtId="175" formatCode="#,##0.0000"/>
    <numFmt numFmtId="176" formatCode="&quot;R$&quot;#,##0.00_);\(&quot;R$&quot;#,##0.00\)"/>
    <numFmt numFmtId="177" formatCode="mmmm\ d\,\ yyyy"/>
    <numFmt numFmtId="178" formatCode="\$#,##0\ ;\(\$#,##0\)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#,##0.000_);\(#,##0.000\)"/>
    <numFmt numFmtId="182" formatCode="#."/>
    <numFmt numFmtId="183" formatCode="_(&quot;$&quot;* #,##0.00_);_(&quot;$&quot;* \(#,##0.00\);_(&quot;$&quot;* &quot;-&quot;??_);_(@_)"/>
    <numFmt numFmtId="184" formatCode="0.000%"/>
    <numFmt numFmtId="185" formatCode="_-* #,##0.000_-;\-* #,##0.000_-;_-* &quot;-&quot;??_-;_-@_-"/>
    <numFmt numFmtId="186" formatCode="0.000"/>
    <numFmt numFmtId="187" formatCode="#,##0.00000"/>
    <numFmt numFmtId="188" formatCode="#,##0.00;[Red]#,##0.00"/>
    <numFmt numFmtId="189" formatCode="#,##0.000000"/>
    <numFmt numFmtId="190" formatCode="#,##0.0000000"/>
    <numFmt numFmtId="191" formatCode="0.0000"/>
    <numFmt numFmtId="192" formatCode="#,##0.0000;[Red]#,##0.0000"/>
    <numFmt numFmtId="193" formatCode="#,##0.000;[Red]#,##0.000"/>
    <numFmt numFmtId="194" formatCode="0.000000"/>
    <numFmt numFmtId="195" formatCode="0.0000000"/>
    <numFmt numFmtId="196" formatCode="0.00000"/>
    <numFmt numFmtId="197" formatCode="#,##0.00_ ;\-#,##0.00\ "/>
    <numFmt numFmtId="198" formatCode="0.000000000"/>
    <numFmt numFmtId="199" formatCode="&quot;R$&quot;\ #,##0.00"/>
  </numFmts>
  <fonts count="9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ekton"/>
    </font>
    <font>
      <sz val="10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5"/>
      <color indexed="56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Courier"/>
      <family val="3"/>
    </font>
    <font>
      <sz val="10"/>
      <name val="Times New Roman"/>
      <family val="1"/>
    </font>
    <font>
      <sz val="10"/>
      <name val="MS Sans Serif"/>
      <family val="2"/>
    </font>
    <font>
      <sz val="1"/>
      <color indexed="16"/>
      <name val="Courier"/>
      <family val="3"/>
    </font>
    <font>
      <sz val="1"/>
      <color indexed="18"/>
      <name val="Courier"/>
      <family val="3"/>
    </font>
    <font>
      <b/>
      <sz val="7"/>
      <color indexed="10"/>
      <name val="Arial"/>
      <family val="2"/>
    </font>
    <font>
      <b/>
      <sz val="1"/>
      <color indexed="16"/>
      <name val="Courier"/>
      <family val="3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2"/>
      <color indexed="5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333333"/>
      <name val="Arial"/>
      <family val="2"/>
    </font>
    <font>
      <b/>
      <sz val="14"/>
      <color theme="1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</font>
    <font>
      <sz val="7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08080"/>
      </patternFill>
    </fill>
    <fill>
      <patternFill patternType="solid">
        <fgColor rgb="FFDFF0D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6" fontId="24" fillId="0" borderId="0"/>
    <xf numFmtId="166" fontId="24" fillId="0" borderId="0"/>
    <xf numFmtId="0" fontId="25" fillId="0" borderId="0"/>
    <xf numFmtId="167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6" fillId="0" borderId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/>
    <xf numFmtId="49" fontId="23" fillId="34" borderId="20" applyNumberFormat="0" applyFont="0" applyFill="0" applyBorder="0" applyAlignment="0">
      <alignment horizontal="center" vertical="center" wrapText="1"/>
    </xf>
    <xf numFmtId="0" fontId="2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3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166" fontId="23" fillId="0" borderId="0" applyFont="0" applyFill="0" applyBorder="0" applyAlignment="0" applyProtection="0"/>
    <xf numFmtId="171" fontId="23" fillId="0" borderId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66" fontId="23" fillId="0" borderId="0" applyFont="0" applyFill="0" applyBorder="0" applyAlignment="0" applyProtection="0"/>
    <xf numFmtId="171" fontId="23" fillId="0" borderId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23" fillId="0" borderId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23" fillId="0" borderId="0" applyFill="0" applyBorder="0" applyAlignment="0" applyProtection="0"/>
    <xf numFmtId="166" fontId="27" fillId="0" borderId="0" applyFont="0" applyFill="0" applyBorder="0" applyAlignment="0" applyProtection="0"/>
    <xf numFmtId="171" fontId="23" fillId="0" borderId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23" fillId="0" borderId="0" applyFill="0" applyBorder="0" applyAlignment="0" applyProtection="0"/>
    <xf numFmtId="166" fontId="27" fillId="0" borderId="0" applyFont="0" applyFill="0" applyBorder="0" applyAlignment="0" applyProtection="0"/>
    <xf numFmtId="171" fontId="23" fillId="0" borderId="0" applyFill="0" applyBorder="0" applyAlignment="0" applyProtection="0"/>
    <xf numFmtId="171" fontId="23" fillId="0" borderId="0" applyFill="0" applyBorder="0" applyAlignment="0" applyProtection="0"/>
    <xf numFmtId="0" fontId="29" fillId="0" borderId="0"/>
    <xf numFmtId="0" fontId="30" fillId="0" borderId="21" applyNumberFormat="0" applyFill="0" applyAlignment="0" applyProtection="0"/>
    <xf numFmtId="0" fontId="31" fillId="35" borderId="0"/>
    <xf numFmtId="0" fontId="31" fillId="35" borderId="0">
      <alignment horizontal="left" indent="1"/>
    </xf>
    <xf numFmtId="0" fontId="31" fillId="0" borderId="0">
      <alignment horizontal="left" indent="1"/>
    </xf>
    <xf numFmtId="0" fontId="32" fillId="34" borderId="14" applyNumberFormat="0" applyBorder="0" applyAlignment="0">
      <alignment horizontal="left" vertical="center" indent="1"/>
    </xf>
    <xf numFmtId="0" fontId="33" fillId="33" borderId="11">
      <alignment horizontal="center"/>
    </xf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/>
    <xf numFmtId="172" fontId="28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23" fillId="0" borderId="0"/>
    <xf numFmtId="166" fontId="3" fillId="0" borderId="0" applyFont="0" applyFill="0" applyBorder="0" applyAlignment="0" applyProtection="0"/>
    <xf numFmtId="0" fontId="44" fillId="38" borderId="36" applyNumberFormat="0" applyFont="0" applyBorder="0" applyAlignment="0">
      <alignment horizontal="lef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3" fillId="0" borderId="0" applyFont="0" applyFill="0" applyBorder="0" applyAlignment="0" applyProtection="0"/>
    <xf numFmtId="3" fontId="23" fillId="0" borderId="0" applyFill="0" applyBorder="0" applyAlignment="0" applyProtection="0"/>
    <xf numFmtId="176" fontId="23" fillId="0" borderId="0" applyFill="0" applyBorder="0" applyAlignment="0" applyProtection="0"/>
    <xf numFmtId="172" fontId="23" fillId="0" borderId="0" applyFill="0" applyBorder="0" applyAlignment="0" applyProtection="0"/>
    <xf numFmtId="0" fontId="47" fillId="0" borderId="0" applyFont="0" applyFill="0" applyBorder="0" applyAlignment="0" applyProtection="0"/>
    <xf numFmtId="177" fontId="23" fillId="0" borderId="0" applyFill="0" applyBorder="0" applyAlignment="0" applyProtection="0"/>
    <xf numFmtId="2" fontId="23" fillId="0" borderId="0" applyFill="0" applyBorder="0" applyAlignment="0" applyProtection="0"/>
    <xf numFmtId="2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78" fontId="47" fillId="0" borderId="0" applyFont="0" applyFill="0" applyBorder="0" applyAlignment="0" applyProtection="0"/>
    <xf numFmtId="179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0" fontId="52" fillId="0" borderId="0"/>
    <xf numFmtId="0" fontId="27" fillId="0" borderId="0"/>
    <xf numFmtId="0" fontId="52" fillId="0" borderId="0"/>
    <xf numFmtId="181" fontId="26" fillId="0" borderId="0"/>
    <xf numFmtId="0" fontId="23" fillId="0" borderId="0" applyNumberFormat="0" applyFont="0" applyFill="0" applyBorder="0" applyAlignment="0" applyProtection="0">
      <alignment vertical="top"/>
    </xf>
    <xf numFmtId="10" fontId="23" fillId="0" borderId="0" applyFill="0" applyBorder="0" applyAlignment="0" applyProtection="0"/>
    <xf numFmtId="182" fontId="53" fillId="0" borderId="0">
      <protection locked="0"/>
    </xf>
    <xf numFmtId="182" fontId="53" fillId="0" borderId="0">
      <protection locked="0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38" fontId="52" fillId="0" borderId="0" applyFont="0" applyFill="0" applyBorder="0" applyAlignment="0" applyProtection="0"/>
    <xf numFmtId="182" fontId="54" fillId="0" borderId="0">
      <protection locked="0"/>
    </xf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0" fontId="52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55" fillId="0" borderId="26" applyNumberFormat="0" applyBorder="0" applyAlignment="0">
      <alignment horizontal="center" vertical="center"/>
    </xf>
    <xf numFmtId="182" fontId="56" fillId="0" borderId="0">
      <protection locked="0"/>
    </xf>
    <xf numFmtId="3" fontId="47" fillId="0" borderId="0" applyFont="0" applyFill="0" applyBorder="0" applyAlignment="0" applyProtection="0"/>
    <xf numFmtId="183" fontId="23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66" fillId="0" borderId="0"/>
    <xf numFmtId="0" fontId="68" fillId="0" borderId="0"/>
    <xf numFmtId="0" fontId="69" fillId="0" borderId="0"/>
  </cellStyleXfs>
  <cellXfs count="1314">
    <xf numFmtId="0" fontId="0" fillId="0" borderId="0" xfId="0"/>
    <xf numFmtId="4" fontId="1" fillId="0" borderId="0" xfId="0" applyNumberFormat="1" applyFont="1" applyAlignment="1">
      <alignment vertical="center"/>
    </xf>
    <xf numFmtId="4" fontId="36" fillId="0" borderId="36" xfId="0" applyNumberFormat="1" applyFont="1" applyBorder="1" applyAlignment="1">
      <alignment horizontal="left" vertical="center" indent="30"/>
    </xf>
    <xf numFmtId="4" fontId="2" fillId="0" borderId="18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34" fillId="0" borderId="36" xfId="0" applyNumberFormat="1" applyFont="1" applyBorder="1" applyAlignment="1">
      <alignment horizontal="centerContinuous" vertical="center"/>
    </xf>
    <xf numFmtId="4" fontId="1" fillId="0" borderId="18" xfId="0" applyNumberFormat="1" applyFont="1" applyBorder="1" applyAlignment="1">
      <alignment horizontal="centerContinuous" vertical="center"/>
    </xf>
    <xf numFmtId="4" fontId="1" fillId="0" borderId="37" xfId="0" applyNumberFormat="1" applyFont="1" applyBorder="1" applyAlignment="1">
      <alignment horizontal="centerContinuous" vertical="center"/>
    </xf>
    <xf numFmtId="0" fontId="38" fillId="0" borderId="0" xfId="151" applyFont="1" applyAlignment="1">
      <alignment horizontal="center" vertical="center"/>
    </xf>
    <xf numFmtId="175" fontId="38" fillId="0" borderId="0" xfId="151" applyNumberFormat="1" applyFont="1" applyAlignment="1">
      <alignment horizontal="center" vertical="center"/>
    </xf>
    <xf numFmtId="174" fontId="38" fillId="0" borderId="0" xfId="151" applyNumberFormat="1" applyFont="1" applyAlignment="1">
      <alignment horizontal="center" vertical="center"/>
    </xf>
    <xf numFmtId="49" fontId="37" fillId="0" borderId="45" xfId="151" applyNumberFormat="1" applyFont="1" applyBorder="1" applyAlignment="1">
      <alignment horizontal="center" vertical="center"/>
    </xf>
    <xf numFmtId="166" fontId="38" fillId="0" borderId="36" xfId="152" applyFont="1" applyBorder="1" applyAlignment="1">
      <alignment vertical="center"/>
    </xf>
    <xf numFmtId="166" fontId="38" fillId="0" borderId="11" xfId="152" applyFont="1" applyBorder="1" applyAlignment="1">
      <alignment vertical="center"/>
    </xf>
    <xf numFmtId="49" fontId="38" fillId="0" borderId="0" xfId="151" applyNumberFormat="1" applyFont="1" applyAlignment="1">
      <alignment vertical="center"/>
    </xf>
    <xf numFmtId="0" fontId="37" fillId="0" borderId="0" xfId="151" applyFont="1" applyAlignment="1">
      <alignment horizontal="center" vertical="center"/>
    </xf>
    <xf numFmtId="175" fontId="37" fillId="0" borderId="0" xfId="151" applyNumberFormat="1" applyFont="1" applyAlignment="1">
      <alignment vertical="center"/>
    </xf>
    <xf numFmtId="174" fontId="37" fillId="0" borderId="0" xfId="151" applyNumberFormat="1" applyFont="1" applyAlignment="1">
      <alignment vertical="center"/>
    </xf>
    <xf numFmtId="0" fontId="37" fillId="0" borderId="0" xfId="151" applyFont="1" applyAlignment="1">
      <alignment vertical="center"/>
    </xf>
    <xf numFmtId="166" fontId="38" fillId="0" borderId="41" xfId="152" applyFont="1" applyBorder="1" applyAlignment="1">
      <alignment vertical="center"/>
    </xf>
    <xf numFmtId="4" fontId="20" fillId="0" borderId="18" xfId="0" applyNumberFormat="1" applyFont="1" applyBorder="1" applyAlignment="1">
      <alignment vertical="center" wrapText="1"/>
    </xf>
    <xf numFmtId="4" fontId="34" fillId="0" borderId="18" xfId="0" applyNumberFormat="1" applyFont="1" applyBorder="1" applyAlignment="1">
      <alignment vertical="center" wrapText="1"/>
    </xf>
    <xf numFmtId="49" fontId="57" fillId="0" borderId="0" xfId="170" applyNumberFormat="1" applyFont="1" applyAlignment="1">
      <alignment horizontal="left" vertical="center"/>
    </xf>
    <xf numFmtId="0" fontId="20" fillId="0" borderId="0" xfId="170" applyFont="1" applyAlignment="1">
      <alignment vertical="center"/>
    </xf>
    <xf numFmtId="0" fontId="58" fillId="0" borderId="0" xfId="170" applyFont="1" applyAlignment="1">
      <alignment horizontal="left" vertical="center"/>
    </xf>
    <xf numFmtId="14" fontId="20" fillId="0" borderId="0" xfId="170" applyNumberFormat="1" applyFont="1" applyAlignment="1">
      <alignment horizontal="center" vertical="center"/>
    </xf>
    <xf numFmtId="0" fontId="59" fillId="0" borderId="0" xfId="151" applyFont="1" applyAlignment="1">
      <alignment vertical="center"/>
    </xf>
    <xf numFmtId="0" fontId="60" fillId="0" borderId="18" xfId="151" applyFont="1" applyBorder="1" applyAlignment="1">
      <alignment vertical="center"/>
    </xf>
    <xf numFmtId="170" fontId="61" fillId="0" borderId="37" xfId="193" applyNumberFormat="1" applyFont="1" applyBorder="1" applyAlignment="1">
      <alignment vertical="center"/>
    </xf>
    <xf numFmtId="166" fontId="38" fillId="0" borderId="17" xfId="152" applyFont="1" applyBorder="1" applyAlignment="1">
      <alignment vertical="center"/>
    </xf>
    <xf numFmtId="0" fontId="60" fillId="0" borderId="17" xfId="151" applyFont="1" applyBorder="1" applyAlignment="1">
      <alignment vertical="center"/>
    </xf>
    <xf numFmtId="170" fontId="61" fillId="0" borderId="50" xfId="193" applyNumberFormat="1" applyFont="1" applyBorder="1" applyAlignment="1">
      <alignment vertical="center"/>
    </xf>
    <xf numFmtId="49" fontId="43" fillId="0" borderId="39" xfId="151" applyNumberFormat="1" applyFont="1" applyBorder="1" applyAlignment="1">
      <alignment horizontal="center" vertical="center"/>
    </xf>
    <xf numFmtId="0" fontId="43" fillId="0" borderId="39" xfId="151" applyFont="1" applyBorder="1" applyAlignment="1">
      <alignment horizontal="center" vertical="center"/>
    </xf>
    <xf numFmtId="0" fontId="43" fillId="0" borderId="16" xfId="151" applyFont="1" applyBorder="1" applyAlignment="1">
      <alignment horizontal="centerContinuous" vertical="center"/>
    </xf>
    <xf numFmtId="0" fontId="43" fillId="0" borderId="50" xfId="151" applyFont="1" applyBorder="1" applyAlignment="1">
      <alignment horizontal="centerContinuous" vertical="center"/>
    </xf>
    <xf numFmtId="174" fontId="43" fillId="0" borderId="17" xfId="151" applyNumberFormat="1" applyFont="1" applyBorder="1" applyAlignment="1">
      <alignment horizontal="centerContinuous" vertical="center"/>
    </xf>
    <xf numFmtId="174" fontId="43" fillId="0" borderId="50" xfId="151" applyNumberFormat="1" applyFont="1" applyBorder="1" applyAlignment="1">
      <alignment horizontal="centerContinuous" vertical="center"/>
    </xf>
    <xf numFmtId="0" fontId="43" fillId="0" borderId="36" xfId="151" applyFont="1" applyBorder="1" applyAlignment="1">
      <alignment horizontal="centerContinuous" vertical="center"/>
    </xf>
    <xf numFmtId="0" fontId="43" fillId="0" borderId="37" xfId="151" applyFont="1" applyBorder="1" applyAlignment="1">
      <alignment horizontal="centerContinuous" vertical="center"/>
    </xf>
    <xf numFmtId="174" fontId="43" fillId="0" borderId="36" xfId="151" applyNumberFormat="1" applyFont="1" applyBorder="1" applyAlignment="1">
      <alignment horizontal="centerContinuous" vertical="center"/>
    </xf>
    <xf numFmtId="174" fontId="43" fillId="0" borderId="37" xfId="151" applyNumberFormat="1" applyFont="1" applyBorder="1" applyAlignment="1">
      <alignment horizontal="centerContinuous" vertical="center"/>
    </xf>
    <xf numFmtId="49" fontId="43" fillId="0" borderId="41" xfId="151" applyNumberFormat="1" applyFont="1" applyBorder="1" applyAlignment="1">
      <alignment horizontal="center" vertical="center"/>
    </xf>
    <xf numFmtId="0" fontId="43" fillId="0" borderId="41" xfId="151" applyFont="1" applyBorder="1" applyAlignment="1">
      <alignment horizontal="center" vertical="center"/>
    </xf>
    <xf numFmtId="3" fontId="37" fillId="0" borderId="45" xfId="151" applyNumberFormat="1" applyFont="1" applyBorder="1" applyAlignment="1">
      <alignment horizontal="center" vertical="center"/>
    </xf>
    <xf numFmtId="0" fontId="37" fillId="0" borderId="45" xfId="151" applyFont="1" applyBorder="1" applyAlignment="1">
      <alignment horizontal="center" vertical="center"/>
    </xf>
    <xf numFmtId="166" fontId="37" fillId="0" borderId="45" xfId="152" applyFont="1" applyBorder="1" applyAlignment="1">
      <alignment vertical="center"/>
    </xf>
    <xf numFmtId="1" fontId="37" fillId="0" borderId="45" xfId="151" applyNumberFormat="1" applyFont="1" applyBorder="1" applyAlignment="1">
      <alignment horizontal="center" vertical="center"/>
    </xf>
    <xf numFmtId="37" fontId="37" fillId="0" borderId="45" xfId="151" applyNumberFormat="1" applyFont="1" applyBorder="1" applyAlignment="1">
      <alignment horizontal="center" vertical="center"/>
    </xf>
    <xf numFmtId="4" fontId="37" fillId="0" borderId="45" xfId="151" applyNumberFormat="1" applyFont="1" applyBorder="1" applyAlignment="1">
      <alignment horizontal="center" vertical="center"/>
    </xf>
    <xf numFmtId="39" fontId="37" fillId="0" borderId="45" xfId="151" applyNumberFormat="1" applyFont="1" applyBorder="1" applyAlignment="1">
      <alignment horizontal="center" vertical="center"/>
    </xf>
    <xf numFmtId="3" fontId="37" fillId="0" borderId="52" xfId="151" applyNumberFormat="1" applyFont="1" applyBorder="1" applyAlignment="1">
      <alignment horizontal="center" vertical="center"/>
    </xf>
    <xf numFmtId="4" fontId="37" fillId="0" borderId="52" xfId="151" applyNumberFormat="1" applyFont="1" applyBorder="1" applyAlignment="1">
      <alignment horizontal="center" vertical="center"/>
    </xf>
    <xf numFmtId="49" fontId="37" fillId="0" borderId="46" xfId="151" applyNumberFormat="1" applyFont="1" applyBorder="1" applyAlignment="1">
      <alignment horizontal="center" vertical="center"/>
    </xf>
    <xf numFmtId="0" fontId="37" fillId="0" borderId="46" xfId="151" applyFont="1" applyBorder="1" applyAlignment="1">
      <alignment horizontal="center" vertical="center"/>
    </xf>
    <xf numFmtId="3" fontId="37" fillId="0" borderId="46" xfId="151" applyNumberFormat="1" applyFont="1" applyBorder="1" applyAlignment="1">
      <alignment horizontal="center" vertical="center"/>
    </xf>
    <xf numFmtId="4" fontId="37" fillId="0" borderId="46" xfId="151" applyNumberFormat="1" applyFont="1" applyBorder="1" applyAlignment="1">
      <alignment horizontal="center" vertical="center"/>
    </xf>
    <xf numFmtId="49" fontId="38" fillId="0" borderId="36" xfId="151" applyNumberFormat="1" applyFont="1" applyBorder="1" applyAlignment="1">
      <alignment horizontal="left" vertical="center" indent="1"/>
    </xf>
    <xf numFmtId="49" fontId="38" fillId="0" borderId="18" xfId="151" applyNumberFormat="1" applyFont="1" applyBorder="1" applyAlignment="1">
      <alignment horizontal="right" vertical="center"/>
    </xf>
    <xf numFmtId="49" fontId="38" fillId="0" borderId="37" xfId="151" applyNumberFormat="1" applyFont="1" applyBorder="1" applyAlignment="1">
      <alignment horizontal="right" vertical="center"/>
    </xf>
    <xf numFmtId="0" fontId="61" fillId="0" borderId="11" xfId="151" applyFont="1" applyBorder="1" applyAlignment="1">
      <alignment horizontal="center" vertical="center"/>
    </xf>
    <xf numFmtId="3" fontId="61" fillId="0" borderId="11" xfId="151" applyNumberFormat="1" applyFont="1" applyBorder="1" applyAlignment="1">
      <alignment horizontal="center" vertical="center"/>
    </xf>
    <xf numFmtId="4" fontId="61" fillId="0" borderId="11" xfId="151" applyNumberFormat="1" applyFont="1" applyBorder="1" applyAlignment="1">
      <alignment horizontal="center" vertical="center"/>
    </xf>
    <xf numFmtId="39" fontId="61" fillId="0" borderId="11" xfId="151" applyNumberFormat="1" applyFont="1" applyBorder="1" applyAlignment="1">
      <alignment horizontal="center" vertical="center"/>
    </xf>
    <xf numFmtId="0" fontId="38" fillId="0" borderId="11" xfId="151" applyFont="1" applyBorder="1" applyAlignment="1">
      <alignment horizontal="center" vertical="center"/>
    </xf>
    <xf numFmtId="4" fontId="38" fillId="0" borderId="11" xfId="151" applyNumberFormat="1" applyFont="1" applyBorder="1" applyAlignment="1">
      <alignment horizontal="center" vertical="center"/>
    </xf>
    <xf numFmtId="49" fontId="38" fillId="0" borderId="16" xfId="151" applyNumberFormat="1" applyFont="1" applyBorder="1" applyAlignment="1">
      <alignment horizontal="left" vertical="center" indent="1"/>
    </xf>
    <xf numFmtId="49" fontId="38" fillId="0" borderId="17" xfId="151" applyNumberFormat="1" applyFont="1" applyBorder="1" applyAlignment="1">
      <alignment vertical="center"/>
    </xf>
    <xf numFmtId="0" fontId="38" fillId="0" borderId="18" xfId="151" applyFont="1" applyBorder="1" applyAlignment="1">
      <alignment horizontal="center" vertical="center"/>
    </xf>
    <xf numFmtId="170" fontId="38" fillId="0" borderId="0" xfId="151" applyNumberFormat="1" applyFont="1" applyAlignment="1">
      <alignment vertical="center"/>
    </xf>
    <xf numFmtId="49" fontId="37" fillId="0" borderId="36" xfId="151" applyNumberFormat="1" applyFont="1" applyBorder="1" applyAlignment="1">
      <alignment horizontal="left" vertical="center" indent="1"/>
    </xf>
    <xf numFmtId="49" fontId="37" fillId="0" borderId="18" xfId="151" applyNumberFormat="1" applyFont="1" applyBorder="1" applyAlignment="1">
      <alignment vertical="center"/>
    </xf>
    <xf numFmtId="49" fontId="38" fillId="0" borderId="18" xfId="151" applyNumberFormat="1" applyFont="1" applyBorder="1" applyAlignment="1">
      <alignment vertical="center"/>
    </xf>
    <xf numFmtId="0" fontId="38" fillId="0" borderId="36" xfId="151" applyFont="1" applyBorder="1" applyAlignment="1">
      <alignment horizontal="left" vertical="center" indent="1"/>
    </xf>
    <xf numFmtId="0" fontId="38" fillId="0" borderId="18" xfId="151" applyFont="1" applyBorder="1" applyAlignment="1">
      <alignment horizontal="right" vertical="center"/>
    </xf>
    <xf numFmtId="1" fontId="61" fillId="0" borderId="18" xfId="151" applyNumberFormat="1" applyFont="1" applyBorder="1" applyAlignment="1">
      <alignment horizontal="center" vertical="center"/>
    </xf>
    <xf numFmtId="166" fontId="38" fillId="0" borderId="36" xfId="152" applyFont="1" applyBorder="1" applyAlignment="1">
      <alignment horizontal="left" vertical="center"/>
    </xf>
    <xf numFmtId="49" fontId="38" fillId="0" borderId="11" xfId="151" applyNumberFormat="1" applyFont="1" applyBorder="1" applyAlignment="1">
      <alignment vertical="center"/>
    </xf>
    <xf numFmtId="49" fontId="38" fillId="0" borderId="17" xfId="151" applyNumberFormat="1" applyFont="1" applyBorder="1" applyAlignment="1">
      <alignment horizontal="right" vertical="center"/>
    </xf>
    <xf numFmtId="49" fontId="38" fillId="0" borderId="50" xfId="151" applyNumberFormat="1" applyFont="1" applyBorder="1" applyAlignment="1">
      <alignment horizontal="right" vertical="center"/>
    </xf>
    <xf numFmtId="3" fontId="38" fillId="0" borderId="11" xfId="151" applyNumberFormat="1" applyFont="1" applyBorder="1" applyAlignment="1">
      <alignment horizontal="center" vertical="center"/>
    </xf>
    <xf numFmtId="49" fontId="37" fillId="0" borderId="0" xfId="151" applyNumberFormat="1" applyFont="1" applyAlignment="1">
      <alignment vertical="center"/>
    </xf>
    <xf numFmtId="4" fontId="37" fillId="0" borderId="0" xfId="151" applyNumberFormat="1" applyFont="1" applyAlignment="1">
      <alignment vertical="center"/>
    </xf>
    <xf numFmtId="4" fontId="35" fillId="0" borderId="42" xfId="0" applyNumberFormat="1" applyFont="1" applyBorder="1" applyAlignment="1">
      <alignment horizontal="centerContinuous" vertical="center"/>
    </xf>
    <xf numFmtId="4" fontId="2" fillId="0" borderId="48" xfId="0" applyNumberFormat="1" applyFont="1" applyBorder="1" applyAlignment="1">
      <alignment horizontal="centerContinuous" vertical="center"/>
    </xf>
    <xf numFmtId="4" fontId="2" fillId="0" borderId="0" xfId="0" applyNumberFormat="1" applyFont="1" applyAlignment="1">
      <alignment vertical="center"/>
    </xf>
    <xf numFmtId="0" fontId="20" fillId="36" borderId="41" xfId="0" applyFont="1" applyFill="1" applyBorder="1" applyAlignment="1">
      <alignment horizontal="center" vertical="center"/>
    </xf>
    <xf numFmtId="43" fontId="20" fillId="36" borderId="55" xfId="43" applyFont="1" applyFill="1" applyBorder="1" applyAlignment="1">
      <alignment horizontal="center" vertical="center" wrapText="1"/>
    </xf>
    <xf numFmtId="4" fontId="20" fillId="36" borderId="13" xfId="0" applyNumberFormat="1" applyFont="1" applyFill="1" applyBorder="1" applyAlignment="1">
      <alignment horizontal="center" vertical="center"/>
    </xf>
    <xf numFmtId="184" fontId="20" fillId="36" borderId="56" xfId="147" applyNumberFormat="1" applyFont="1" applyFill="1" applyBorder="1" applyAlignment="1">
      <alignment horizontal="center" vertical="center"/>
    </xf>
    <xf numFmtId="4" fontId="2" fillId="0" borderId="57" xfId="0" applyNumberFormat="1" applyFont="1" applyBorder="1" applyAlignment="1">
      <alignment horizontal="center" vertical="center"/>
    </xf>
    <xf numFmtId="43" fontId="2" fillId="0" borderId="13" xfId="43" applyFont="1" applyBorder="1" applyAlignment="1">
      <alignment vertical="center"/>
    </xf>
    <xf numFmtId="4" fontId="2" fillId="37" borderId="13" xfId="0" applyNumberFormat="1" applyFont="1" applyFill="1" applyBorder="1" applyAlignment="1">
      <alignment horizontal="center" vertical="center"/>
    </xf>
    <xf numFmtId="184" fontId="2" fillId="0" borderId="56" xfId="147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3" fontId="2" fillId="0" borderId="10" xfId="43" applyFont="1" applyBorder="1" applyAlignment="1">
      <alignment vertical="center"/>
    </xf>
    <xf numFmtId="4" fontId="2" fillId="37" borderId="10" xfId="0" applyNumberFormat="1" applyFont="1" applyFill="1" applyBorder="1" applyAlignment="1">
      <alignment horizontal="center" vertical="center"/>
    </xf>
    <xf numFmtId="184" fontId="2" fillId="0" borderId="58" xfId="147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184" fontId="2" fillId="0" borderId="58" xfId="0" applyNumberFormat="1" applyFont="1" applyBorder="1" applyAlignment="1">
      <alignment horizontal="center" vertical="center"/>
    </xf>
    <xf numFmtId="4" fontId="2" fillId="0" borderId="59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184" fontId="2" fillId="0" borderId="60" xfId="0" applyNumberFormat="1" applyFont="1" applyBorder="1" applyAlignment="1">
      <alignment horizontal="center" vertical="center"/>
    </xf>
    <xf numFmtId="4" fontId="2" fillId="36" borderId="11" xfId="0" applyNumberFormat="1" applyFont="1" applyFill="1" applyBorder="1" applyAlignment="1">
      <alignment vertical="center"/>
    </xf>
    <xf numFmtId="43" fontId="1" fillId="0" borderId="40" xfId="43" applyFont="1" applyBorder="1" applyAlignment="1">
      <alignment horizontal="left" vertical="top"/>
    </xf>
    <xf numFmtId="4" fontId="1" fillId="0" borderId="15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4" fontId="63" fillId="0" borderId="40" xfId="0" applyNumberFormat="1" applyFont="1" applyBorder="1" applyAlignment="1">
      <alignment horizontal="center" vertical="center"/>
    </xf>
    <xf numFmtId="4" fontId="63" fillId="0" borderId="0" xfId="0" applyNumberFormat="1" applyFont="1" applyAlignment="1">
      <alignment horizontal="center" vertical="center"/>
    </xf>
    <xf numFmtId="4" fontId="63" fillId="0" borderId="54" xfId="0" applyNumberFormat="1" applyFont="1" applyBorder="1" applyAlignment="1">
      <alignment horizontal="center" vertical="center"/>
    </xf>
    <xf numFmtId="4" fontId="63" fillId="0" borderId="0" xfId="0" applyNumberFormat="1" applyFont="1" applyAlignment="1">
      <alignment vertical="center" wrapText="1"/>
    </xf>
    <xf numFmtId="4" fontId="58" fillId="0" borderId="0" xfId="0" applyNumberFormat="1" applyFont="1" applyAlignment="1">
      <alignment vertical="center"/>
    </xf>
    <xf numFmtId="4" fontId="58" fillId="0" borderId="40" xfId="0" applyNumberFormat="1" applyFont="1" applyBorder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58" fillId="0" borderId="54" xfId="0" applyNumberFormat="1" applyFont="1" applyBorder="1" applyAlignment="1">
      <alignment horizontal="center" vertical="center"/>
    </xf>
    <xf numFmtId="4" fontId="58" fillId="0" borderId="0" xfId="0" applyNumberFormat="1" applyFont="1" applyAlignment="1">
      <alignment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50" xfId="0" applyNumberFormat="1" applyFont="1" applyBorder="1" applyAlignment="1">
      <alignment vertical="center"/>
    </xf>
    <xf numFmtId="0" fontId="41" fillId="0" borderId="0" xfId="65" applyFont="1" applyAlignment="1">
      <alignment vertical="center"/>
    </xf>
    <xf numFmtId="0" fontId="40" fillId="0" borderId="0" xfId="65" applyFont="1" applyAlignment="1">
      <alignment horizontal="center" vertical="center"/>
    </xf>
    <xf numFmtId="4" fontId="41" fillId="0" borderId="0" xfId="65" applyNumberFormat="1" applyFont="1" applyAlignment="1">
      <alignment horizontal="center" vertical="center"/>
    </xf>
    <xf numFmtId="0" fontId="67" fillId="39" borderId="0" xfId="0" applyFont="1" applyFill="1"/>
    <xf numFmtId="0" fontId="65" fillId="0" borderId="0" xfId="194" applyFont="1" applyAlignment="1">
      <alignment horizontal="left"/>
    </xf>
    <xf numFmtId="2" fontId="65" fillId="0" borderId="0" xfId="194" applyNumberFormat="1" applyFont="1" applyAlignment="1">
      <alignment horizontal="left"/>
    </xf>
    <xf numFmtId="0" fontId="41" fillId="0" borderId="0" xfId="65" applyFont="1" applyAlignment="1">
      <alignment horizontal="left" vertical="center"/>
    </xf>
    <xf numFmtId="49" fontId="2" fillId="0" borderId="10" xfId="43" applyNumberFormat="1" applyFont="1" applyBorder="1" applyAlignment="1">
      <alignment vertical="center"/>
    </xf>
    <xf numFmtId="0" fontId="65" fillId="0" borderId="0" xfId="194" applyFont="1"/>
    <xf numFmtId="0" fontId="21" fillId="0" borderId="0" xfId="0" applyFont="1"/>
    <xf numFmtId="0" fontId="21" fillId="0" borderId="0" xfId="0" applyFont="1" applyAlignment="1">
      <alignment horizontal="left"/>
    </xf>
    <xf numFmtId="0" fontId="67" fillId="39" borderId="0" xfId="194" applyFont="1" applyFill="1"/>
    <xf numFmtId="0" fontId="64" fillId="0" borderId="0" xfId="194" applyFont="1"/>
    <xf numFmtId="0" fontId="67" fillId="39" borderId="0" xfId="196" applyFont="1" applyFill="1"/>
    <xf numFmtId="0" fontId="65" fillId="0" borderId="0" xfId="196" applyFont="1"/>
    <xf numFmtId="0" fontId="37" fillId="0" borderId="45" xfId="151" applyFont="1" applyBorder="1" applyAlignment="1">
      <alignment horizontal="center" vertical="center" wrapText="1"/>
    </xf>
    <xf numFmtId="166" fontId="37" fillId="0" borderId="45" xfId="152" applyFont="1" applyBorder="1" applyAlignment="1">
      <alignment vertical="center" wrapText="1"/>
    </xf>
    <xf numFmtId="0" fontId="65" fillId="0" borderId="0" xfId="196" applyFont="1" applyAlignment="1">
      <alignment horizontal="left"/>
    </xf>
    <xf numFmtId="43" fontId="21" fillId="0" borderId="0" xfId="43" applyFont="1"/>
    <xf numFmtId="0" fontId="41" fillId="40" borderId="0" xfId="0" applyFont="1" applyFill="1" applyAlignment="1">
      <alignment horizontal="left" vertical="top" wrapText="1"/>
    </xf>
    <xf numFmtId="0" fontId="41" fillId="37" borderId="0" xfId="0" applyFont="1" applyFill="1" applyAlignment="1">
      <alignment horizontal="left" vertical="top" wrapText="1"/>
    </xf>
    <xf numFmtId="0" fontId="41" fillId="37" borderId="0" xfId="0" applyFont="1" applyFill="1" applyAlignment="1">
      <alignment horizontal="center" vertical="top" wrapText="1"/>
    </xf>
    <xf numFmtId="0" fontId="41" fillId="37" borderId="0" xfId="0" applyFont="1" applyFill="1" applyAlignment="1">
      <alignment horizontal="right" vertical="top" wrapText="1"/>
    </xf>
    <xf numFmtId="0" fontId="41" fillId="40" borderId="0" xfId="0" applyFont="1" applyFill="1" applyAlignment="1">
      <alignment horizontal="center" vertical="top" wrapText="1"/>
    </xf>
    <xf numFmtId="0" fontId="41" fillId="40" borderId="0" xfId="0" applyFont="1" applyFill="1" applyAlignment="1">
      <alignment horizontal="right" vertical="top" wrapText="1"/>
    </xf>
    <xf numFmtId="2" fontId="41" fillId="37" borderId="0" xfId="0" applyNumberFormat="1" applyFont="1" applyFill="1" applyAlignment="1">
      <alignment horizontal="right" vertical="top" wrapText="1"/>
    </xf>
    <xf numFmtId="0" fontId="40" fillId="0" borderId="0" xfId="65" applyFont="1" applyAlignment="1">
      <alignment vertical="center"/>
    </xf>
    <xf numFmtId="0" fontId="40" fillId="0" borderId="0" xfId="65" applyFont="1" applyAlignment="1">
      <alignment horizontal="left" vertical="center"/>
    </xf>
    <xf numFmtId="4" fontId="40" fillId="0" borderId="0" xfId="65" applyNumberFormat="1" applyFont="1" applyAlignment="1">
      <alignment horizontal="center" vertical="center"/>
    </xf>
    <xf numFmtId="4" fontId="40" fillId="0" borderId="0" xfId="65" applyNumberFormat="1" applyFont="1" applyAlignment="1">
      <alignment vertical="center"/>
    </xf>
    <xf numFmtId="2" fontId="40" fillId="0" borderId="0" xfId="65" applyNumberFormat="1" applyFont="1" applyAlignment="1">
      <alignment vertical="center"/>
    </xf>
    <xf numFmtId="4" fontId="34" fillId="0" borderId="36" xfId="0" applyNumberFormat="1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185" fontId="21" fillId="0" borderId="0" xfId="43" applyNumberFormat="1" applyFont="1" applyAlignment="1">
      <alignment horizontal="right"/>
    </xf>
    <xf numFmtId="43" fontId="21" fillId="0" borderId="0" xfId="43" applyFont="1" applyAlignment="1">
      <alignment horizontal="right"/>
    </xf>
    <xf numFmtId="0" fontId="65" fillId="0" borderId="0" xfId="0" applyFont="1"/>
    <xf numFmtId="43" fontId="21" fillId="0" borderId="0" xfId="0" applyNumberFormat="1" applyFont="1"/>
    <xf numFmtId="4" fontId="71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top"/>
    </xf>
    <xf numFmtId="0" fontId="71" fillId="0" borderId="2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173" fontId="33" fillId="0" borderId="10" xfId="0" applyNumberFormat="1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/>
    </xf>
    <xf numFmtId="4" fontId="71" fillId="0" borderId="10" xfId="43" applyNumberFormat="1" applyFont="1" applyBorder="1" applyAlignment="1">
      <alignment horizontal="right" vertical="center"/>
    </xf>
    <xf numFmtId="43" fontId="71" fillId="0" borderId="10" xfId="43" applyFont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71" fillId="0" borderId="19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173" fontId="33" fillId="0" borderId="12" xfId="0" applyNumberFormat="1" applyFont="1" applyBorder="1" applyAlignment="1">
      <alignment vertical="center" wrapText="1"/>
    </xf>
    <xf numFmtId="0" fontId="71" fillId="0" borderId="29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 wrapText="1"/>
    </xf>
    <xf numFmtId="4" fontId="71" fillId="0" borderId="13" xfId="43" applyNumberFormat="1" applyFont="1" applyBorder="1" applyAlignment="1">
      <alignment horizontal="right" vertical="center"/>
    </xf>
    <xf numFmtId="43" fontId="71" fillId="0" borderId="13" xfId="43" applyFont="1" applyBorder="1" applyAlignment="1">
      <alignment horizontal="right" vertical="center"/>
    </xf>
    <xf numFmtId="43" fontId="71" fillId="0" borderId="10" xfId="43" applyFont="1" applyBorder="1" applyAlignment="1">
      <alignment vertical="center" wrapText="1"/>
    </xf>
    <xf numFmtId="43" fontId="70" fillId="0" borderId="0" xfId="0" applyNumberFormat="1" applyFont="1" applyAlignment="1">
      <alignment vertical="center"/>
    </xf>
    <xf numFmtId="0" fontId="71" fillId="0" borderId="61" xfId="0" applyFont="1" applyBorder="1" applyAlignment="1">
      <alignment horizontal="center" vertical="center" wrapText="1"/>
    </xf>
    <xf numFmtId="43" fontId="71" fillId="0" borderId="35" xfId="43" applyFont="1" applyBorder="1" applyAlignment="1">
      <alignment vertical="center" wrapText="1"/>
    </xf>
    <xf numFmtId="0" fontId="71" fillId="0" borderId="35" xfId="0" applyFont="1" applyBorder="1" applyAlignment="1">
      <alignment horizontal="center" vertical="center"/>
    </xf>
    <xf numFmtId="4" fontId="71" fillId="0" borderId="35" xfId="43" applyNumberFormat="1" applyFont="1" applyBorder="1" applyAlignment="1">
      <alignment horizontal="right" vertical="center"/>
    </xf>
    <xf numFmtId="43" fontId="71" fillId="0" borderId="10" xfId="43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4" fontId="71" fillId="0" borderId="12" xfId="43" applyNumberFormat="1" applyFont="1" applyBorder="1" applyAlignment="1">
      <alignment horizontal="right" vertical="center"/>
    </xf>
    <xf numFmtId="0" fontId="71" fillId="37" borderId="35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71" fillId="0" borderId="19" xfId="0" applyFont="1" applyBorder="1" applyAlignment="1">
      <alignment vertical="center" wrapText="1"/>
    </xf>
    <xf numFmtId="4" fontId="71" fillId="37" borderId="10" xfId="43" applyNumberFormat="1" applyFont="1" applyFill="1" applyBorder="1" applyAlignment="1">
      <alignment horizontal="right" vertical="center"/>
    </xf>
    <xf numFmtId="0" fontId="71" fillId="0" borderId="10" xfId="0" applyFont="1" applyBorder="1" applyAlignment="1">
      <alignment vertical="center" wrapText="1"/>
    </xf>
    <xf numFmtId="0" fontId="71" fillId="37" borderId="13" xfId="0" applyFont="1" applyFill="1" applyBorder="1" applyAlignment="1">
      <alignment horizontal="center" vertical="center"/>
    </xf>
    <xf numFmtId="4" fontId="71" fillId="37" borderId="13" xfId="43" applyNumberFormat="1" applyFont="1" applyFill="1" applyBorder="1" applyAlignment="1">
      <alignment horizontal="right" vertical="center"/>
    </xf>
    <xf numFmtId="0" fontId="71" fillId="0" borderId="0" xfId="0" applyFont="1" applyAlignment="1">
      <alignment vertical="top"/>
    </xf>
    <xf numFmtId="43" fontId="71" fillId="0" borderId="31" xfId="43" applyFont="1" applyBorder="1" applyAlignment="1">
      <alignment vertical="top"/>
    </xf>
    <xf numFmtId="43" fontId="71" fillId="0" borderId="31" xfId="43" applyFont="1" applyBorder="1" applyAlignment="1">
      <alignment vertical="center" wrapText="1"/>
    </xf>
    <xf numFmtId="0" fontId="71" fillId="0" borderId="31" xfId="0" applyFont="1" applyBorder="1" applyAlignment="1">
      <alignment horizontal="center" vertical="top"/>
    </xf>
    <xf numFmtId="4" fontId="71" fillId="0" borderId="31" xfId="0" applyNumberFormat="1" applyFont="1" applyBorder="1" applyAlignment="1">
      <alignment horizontal="right" vertical="top"/>
    </xf>
    <xf numFmtId="4" fontId="71" fillId="0" borderId="23" xfId="0" applyNumberFormat="1" applyFont="1" applyBorder="1" applyAlignment="1">
      <alignment horizontal="centerContinuous" vertical="top"/>
    </xf>
    <xf numFmtId="43" fontId="71" fillId="0" borderId="23" xfId="43" applyFont="1" applyBorder="1" applyAlignment="1">
      <alignment vertical="center"/>
    </xf>
    <xf numFmtId="4" fontId="71" fillId="0" borderId="23" xfId="0" applyNumberFormat="1" applyFont="1" applyBorder="1" applyAlignment="1">
      <alignment horizontal="right" vertical="top"/>
    </xf>
    <xf numFmtId="0" fontId="71" fillId="0" borderId="0" xfId="0" applyFont="1" applyAlignment="1">
      <alignment horizontal="center" vertical="top"/>
    </xf>
    <xf numFmtId="43" fontId="71" fillId="0" borderId="0" xfId="43" applyFont="1" applyAlignment="1">
      <alignment vertical="center" wrapText="1"/>
    </xf>
    <xf numFmtId="4" fontId="71" fillId="0" borderId="0" xfId="0" applyNumberFormat="1" applyFont="1" applyAlignment="1">
      <alignment horizontal="right" vertical="top"/>
    </xf>
    <xf numFmtId="173" fontId="33" fillId="0" borderId="13" xfId="0" applyNumberFormat="1" applyFont="1" applyBorder="1" applyAlignment="1">
      <alignment vertical="center" wrapText="1"/>
    </xf>
    <xf numFmtId="0" fontId="70" fillId="0" borderId="67" xfId="0" applyFont="1" applyBorder="1" applyAlignment="1">
      <alignment horizontal="center" vertical="top"/>
    </xf>
    <xf numFmtId="43" fontId="70" fillId="0" borderId="67" xfId="43" applyFont="1" applyBorder="1" applyAlignment="1">
      <alignment vertical="center" wrapText="1"/>
    </xf>
    <xf numFmtId="4" fontId="70" fillId="0" borderId="67" xfId="43" applyNumberFormat="1" applyFont="1" applyBorder="1" applyAlignment="1">
      <alignment horizontal="right" vertical="top"/>
    </xf>
    <xf numFmtId="43" fontId="70" fillId="0" borderId="67" xfId="43" applyFont="1" applyBorder="1" applyAlignment="1">
      <alignment horizontal="right" vertical="top"/>
    </xf>
    <xf numFmtId="0" fontId="70" fillId="0" borderId="66" xfId="0" applyFont="1" applyBorder="1" applyAlignment="1">
      <alignment horizontal="center" vertical="center"/>
    </xf>
    <xf numFmtId="0" fontId="70" fillId="36" borderId="66" xfId="0" applyFont="1" applyFill="1" applyBorder="1" applyAlignment="1">
      <alignment horizontal="center" vertical="center"/>
    </xf>
    <xf numFmtId="0" fontId="70" fillId="36" borderId="67" xfId="0" applyFont="1" applyFill="1" applyBorder="1" applyAlignment="1">
      <alignment horizontal="center" vertical="top"/>
    </xf>
    <xf numFmtId="43" fontId="70" fillId="36" borderId="67" xfId="43" applyFont="1" applyFill="1" applyBorder="1" applyAlignment="1">
      <alignment vertical="center" wrapText="1"/>
    </xf>
    <xf numFmtId="4" fontId="70" fillId="36" borderId="67" xfId="43" applyNumberFormat="1" applyFont="1" applyFill="1" applyBorder="1" applyAlignment="1">
      <alignment horizontal="right" vertical="top"/>
    </xf>
    <xf numFmtId="43" fontId="70" fillId="36" borderId="67" xfId="43" applyFont="1" applyFill="1" applyBorder="1" applyAlignment="1">
      <alignment horizontal="right" vertical="top"/>
    </xf>
    <xf numFmtId="43" fontId="70" fillId="0" borderId="17" xfId="43" applyFont="1" applyBorder="1" applyAlignment="1">
      <alignment vertical="center" wrapText="1"/>
    </xf>
    <xf numFmtId="0" fontId="70" fillId="0" borderId="17" xfId="0" applyFont="1" applyBorder="1" applyAlignment="1">
      <alignment horizontal="center" vertical="center"/>
    </xf>
    <xf numFmtId="4" fontId="70" fillId="0" borderId="17" xfId="0" applyNumberFormat="1" applyFont="1" applyBorder="1" applyAlignment="1">
      <alignment horizontal="right" vertical="center"/>
    </xf>
    <xf numFmtId="0" fontId="70" fillId="0" borderId="17" xfId="0" applyFont="1" applyBorder="1" applyAlignment="1">
      <alignment horizontal="right" vertical="center"/>
    </xf>
    <xf numFmtId="4" fontId="74" fillId="0" borderId="22" xfId="0" applyNumberFormat="1" applyFont="1" applyBorder="1" applyAlignment="1">
      <alignment vertical="center"/>
    </xf>
    <xf numFmtId="4" fontId="74" fillId="0" borderId="31" xfId="0" applyNumberFormat="1" applyFont="1" applyBorder="1" applyAlignment="1">
      <alignment vertical="center"/>
    </xf>
    <xf numFmtId="0" fontId="70" fillId="0" borderId="25" xfId="0" applyFont="1" applyBorder="1" applyAlignment="1">
      <alignment horizontal="center" vertical="center"/>
    </xf>
    <xf numFmtId="43" fontId="71" fillId="0" borderId="30" xfId="43" applyFont="1" applyBorder="1" applyAlignment="1">
      <alignment horizontal="center" vertical="center"/>
    </xf>
    <xf numFmtId="4" fontId="71" fillId="0" borderId="23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173" fontId="72" fillId="0" borderId="67" xfId="0" applyNumberFormat="1" applyFont="1" applyBorder="1" applyAlignment="1">
      <alignment vertical="center" wrapText="1"/>
    </xf>
    <xf numFmtId="0" fontId="71" fillId="0" borderId="67" xfId="0" applyFont="1" applyBorder="1" applyAlignment="1">
      <alignment horizontal="center" vertical="center"/>
    </xf>
    <xf numFmtId="4" fontId="71" fillId="0" borderId="67" xfId="43" applyNumberFormat="1" applyFont="1" applyBorder="1" applyAlignment="1">
      <alignment horizontal="right" vertical="center"/>
    </xf>
    <xf numFmtId="43" fontId="71" fillId="0" borderId="67" xfId="43" applyFont="1" applyBorder="1" applyAlignment="1">
      <alignment horizontal="right" vertical="center"/>
    </xf>
    <xf numFmtId="0" fontId="1" fillId="37" borderId="0" xfId="0" applyFont="1" applyFill="1"/>
    <xf numFmtId="0" fontId="75" fillId="37" borderId="0" xfId="73" applyFont="1" applyFill="1"/>
    <xf numFmtId="0" fontId="76" fillId="37" borderId="0" xfId="73" applyFont="1" applyFill="1"/>
    <xf numFmtId="0" fontId="33" fillId="37" borderId="10" xfId="65" applyFont="1" applyFill="1" applyBorder="1" applyAlignment="1">
      <alignment horizontal="center" vertical="center"/>
    </xf>
    <xf numFmtId="0" fontId="33" fillId="37" borderId="10" xfId="65" applyFont="1" applyFill="1" applyBorder="1" applyAlignment="1">
      <alignment horizontal="left" vertical="center" wrapText="1"/>
    </xf>
    <xf numFmtId="0" fontId="70" fillId="36" borderId="67" xfId="0" applyFont="1" applyFill="1" applyBorder="1" applyAlignment="1">
      <alignment horizontal="center" vertical="center"/>
    </xf>
    <xf numFmtId="4" fontId="70" fillId="36" borderId="67" xfId="43" applyNumberFormat="1" applyFont="1" applyFill="1" applyBorder="1" applyAlignment="1">
      <alignment horizontal="right" vertical="center"/>
    </xf>
    <xf numFmtId="43" fontId="70" fillId="36" borderId="67" xfId="43" applyFont="1" applyFill="1" applyBorder="1" applyAlignment="1">
      <alignment horizontal="right" vertical="center"/>
    </xf>
    <xf numFmtId="0" fontId="70" fillId="0" borderId="69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43" fontId="70" fillId="0" borderId="0" xfId="43" applyFont="1" applyAlignment="1">
      <alignment vertical="center" wrapText="1"/>
    </xf>
    <xf numFmtId="4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49" fontId="70" fillId="36" borderId="67" xfId="43" applyNumberFormat="1" applyFont="1" applyFill="1" applyBorder="1" applyAlignment="1">
      <alignment vertical="center" wrapText="1"/>
    </xf>
    <xf numFmtId="43" fontId="71" fillId="0" borderId="13" xfId="43" applyFont="1" applyBorder="1" applyAlignment="1">
      <alignment vertical="center" wrapText="1"/>
    </xf>
    <xf numFmtId="49" fontId="70" fillId="0" borderId="0" xfId="43" applyNumberFormat="1" applyFont="1" applyAlignment="1">
      <alignment vertical="center" wrapText="1"/>
    </xf>
    <xf numFmtId="4" fontId="70" fillId="0" borderId="0" xfId="43" applyNumberFormat="1" applyFont="1" applyAlignment="1">
      <alignment horizontal="right" vertical="center"/>
    </xf>
    <xf numFmtId="43" fontId="70" fillId="0" borderId="0" xfId="43" applyFont="1" applyAlignment="1">
      <alignment horizontal="right" vertical="center"/>
    </xf>
    <xf numFmtId="0" fontId="71" fillId="0" borderId="7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center" vertical="center"/>
    </xf>
    <xf numFmtId="0" fontId="70" fillId="0" borderId="71" xfId="0" applyFont="1" applyBorder="1" applyAlignment="1">
      <alignment horizontal="center" vertical="center"/>
    </xf>
    <xf numFmtId="43" fontId="70" fillId="0" borderId="71" xfId="43" applyFont="1" applyBorder="1" applyAlignment="1">
      <alignment vertical="center" wrapText="1"/>
    </xf>
    <xf numFmtId="4" fontId="70" fillId="0" borderId="71" xfId="43" applyNumberFormat="1" applyFont="1" applyBorder="1" applyAlignment="1">
      <alignment horizontal="right" vertical="center"/>
    </xf>
    <xf numFmtId="43" fontId="70" fillId="0" borderId="71" xfId="43" applyFont="1" applyBorder="1" applyAlignment="1">
      <alignment horizontal="right" vertical="center"/>
    </xf>
    <xf numFmtId="49" fontId="71" fillId="0" borderId="10" xfId="43" applyNumberFormat="1" applyFont="1" applyBorder="1" applyAlignment="1">
      <alignment vertical="center" wrapText="1"/>
    </xf>
    <xf numFmtId="4" fontId="70" fillId="0" borderId="10" xfId="43" applyNumberFormat="1" applyFont="1" applyBorder="1" applyAlignment="1">
      <alignment horizontal="right" vertical="center"/>
    </xf>
    <xf numFmtId="4" fontId="70" fillId="0" borderId="10" xfId="0" applyNumberFormat="1" applyFont="1" applyBorder="1" applyAlignment="1">
      <alignment horizontal="right" vertical="center"/>
    </xf>
    <xf numFmtId="49" fontId="70" fillId="0" borderId="67" xfId="43" applyNumberFormat="1" applyFont="1" applyBorder="1" applyAlignment="1">
      <alignment vertical="center" wrapText="1"/>
    </xf>
    <xf numFmtId="4" fontId="70" fillId="0" borderId="67" xfId="43" applyNumberFormat="1" applyFont="1" applyBorder="1" applyAlignment="1">
      <alignment horizontal="right" vertical="center"/>
    </xf>
    <xf numFmtId="43" fontId="70" fillId="0" borderId="67" xfId="43" applyFont="1" applyBorder="1" applyAlignment="1">
      <alignment horizontal="right" vertical="center"/>
    </xf>
    <xf numFmtId="4" fontId="70" fillId="0" borderId="67" xfId="0" applyNumberFormat="1" applyFont="1" applyBorder="1" applyAlignment="1">
      <alignment horizontal="right" vertical="center"/>
    </xf>
    <xf numFmtId="0" fontId="70" fillId="0" borderId="67" xfId="0" applyFont="1" applyBorder="1" applyAlignment="1">
      <alignment horizontal="right" vertical="center"/>
    </xf>
    <xf numFmtId="0" fontId="71" fillId="0" borderId="66" xfId="0" applyFont="1" applyBorder="1" applyAlignment="1">
      <alignment horizontal="center" vertical="center"/>
    </xf>
    <xf numFmtId="49" fontId="71" fillId="0" borderId="67" xfId="43" applyNumberFormat="1" applyFont="1" applyBorder="1" applyAlignment="1">
      <alignment vertical="center" wrapText="1"/>
    </xf>
    <xf numFmtId="0" fontId="71" fillId="0" borderId="71" xfId="0" applyFont="1" applyBorder="1" applyAlignment="1">
      <alignment horizontal="center" vertical="center"/>
    </xf>
    <xf numFmtId="4" fontId="71" fillId="0" borderId="71" xfId="43" applyNumberFormat="1" applyFont="1" applyBorder="1" applyAlignment="1">
      <alignment horizontal="right" vertical="center"/>
    </xf>
    <xf numFmtId="43" fontId="71" fillId="0" borderId="71" xfId="43" applyFont="1" applyBorder="1" applyAlignment="1">
      <alignment horizontal="right" vertical="center"/>
    </xf>
    <xf numFmtId="0" fontId="79" fillId="0" borderId="19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0" fontId="70" fillId="0" borderId="74" xfId="0" applyFont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43" fontId="70" fillId="0" borderId="75" xfId="43" applyFont="1" applyBorder="1" applyAlignment="1">
      <alignment vertical="center" wrapText="1"/>
    </xf>
    <xf numFmtId="4" fontId="70" fillId="0" borderId="75" xfId="0" applyNumberFormat="1" applyFont="1" applyBorder="1" applyAlignment="1">
      <alignment horizontal="right" vertical="center"/>
    </xf>
    <xf numFmtId="0" fontId="70" fillId="0" borderId="75" xfId="0" applyFont="1" applyBorder="1" applyAlignment="1">
      <alignment horizontal="right" vertical="center"/>
    </xf>
    <xf numFmtId="0" fontId="70" fillId="0" borderId="10" xfId="0" applyFont="1" applyBorder="1" applyAlignment="1">
      <alignment vertical="center"/>
    </xf>
    <xf numFmtId="0" fontId="71" fillId="0" borderId="34" xfId="0" applyFont="1" applyBorder="1" applyAlignment="1">
      <alignment horizontal="center" vertical="center"/>
    </xf>
    <xf numFmtId="49" fontId="71" fillId="0" borderId="35" xfId="43" applyNumberFormat="1" applyFont="1" applyBorder="1" applyAlignment="1">
      <alignment vertical="center" wrapText="1"/>
    </xf>
    <xf numFmtId="4" fontId="70" fillId="0" borderId="35" xfId="43" applyNumberFormat="1" applyFont="1" applyBorder="1" applyAlignment="1">
      <alignment horizontal="right" vertical="center"/>
    </xf>
    <xf numFmtId="0" fontId="70" fillId="0" borderId="76" xfId="0" applyFont="1" applyBorder="1" applyAlignment="1">
      <alignment horizontal="center" vertical="center"/>
    </xf>
    <xf numFmtId="0" fontId="70" fillId="0" borderId="77" xfId="0" applyFont="1" applyBorder="1" applyAlignment="1">
      <alignment horizontal="center" vertical="center"/>
    </xf>
    <xf numFmtId="43" fontId="70" fillId="0" borderId="77" xfId="43" applyFont="1" applyBorder="1" applyAlignment="1">
      <alignment vertical="center" wrapText="1"/>
    </xf>
    <xf numFmtId="4" fontId="70" fillId="0" borderId="77" xfId="0" applyNumberFormat="1" applyFont="1" applyBorder="1" applyAlignment="1">
      <alignment horizontal="right" vertical="center"/>
    </xf>
    <xf numFmtId="0" fontId="70" fillId="0" borderId="77" xfId="0" applyFont="1" applyBorder="1" applyAlignment="1">
      <alignment horizontal="right" vertical="center"/>
    </xf>
    <xf numFmtId="0" fontId="70" fillId="37" borderId="70" xfId="0" applyFont="1" applyFill="1" applyBorder="1" applyAlignment="1">
      <alignment horizontal="center" vertical="center"/>
    </xf>
    <xf numFmtId="0" fontId="70" fillId="37" borderId="71" xfId="0" applyFont="1" applyFill="1" applyBorder="1" applyAlignment="1">
      <alignment horizontal="center" vertical="center"/>
    </xf>
    <xf numFmtId="49" fontId="70" fillId="37" borderId="71" xfId="43" applyNumberFormat="1" applyFont="1" applyFill="1" applyBorder="1" applyAlignment="1">
      <alignment vertical="center" wrapText="1"/>
    </xf>
    <xf numFmtId="4" fontId="70" fillId="37" borderId="71" xfId="43" applyNumberFormat="1" applyFont="1" applyFill="1" applyBorder="1" applyAlignment="1">
      <alignment horizontal="right" vertical="center"/>
    </xf>
    <xf numFmtId="43" fontId="70" fillId="37" borderId="71" xfId="43" applyFont="1" applyFill="1" applyBorder="1" applyAlignment="1">
      <alignment horizontal="right" vertical="center"/>
    </xf>
    <xf numFmtId="0" fontId="41" fillId="0" borderId="0" xfId="65" applyFont="1" applyAlignment="1">
      <alignment horizontal="center" vertical="center"/>
    </xf>
    <xf numFmtId="0" fontId="40" fillId="0" borderId="0" xfId="65" applyFont="1" applyAlignment="1">
      <alignment horizontal="left" vertical="center" wrapText="1"/>
    </xf>
    <xf numFmtId="0" fontId="41" fillId="0" borderId="19" xfId="65" applyFont="1" applyBorder="1" applyAlignment="1">
      <alignment vertical="center"/>
    </xf>
    <xf numFmtId="0" fontId="40" fillId="0" borderId="10" xfId="65" applyFont="1" applyBorder="1" applyAlignment="1">
      <alignment horizontal="left" vertical="center" wrapText="1"/>
    </xf>
    <xf numFmtId="4" fontId="41" fillId="0" borderId="10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 wrapText="1"/>
    </xf>
    <xf numFmtId="0" fontId="41" fillId="0" borderId="72" xfId="65" applyFont="1" applyBorder="1" applyAlignment="1">
      <alignment horizontal="center" vertical="center"/>
    </xf>
    <xf numFmtId="0" fontId="41" fillId="0" borderId="10" xfId="65" applyFont="1" applyBorder="1" applyAlignment="1">
      <alignment horizontal="left" vertical="center" wrapText="1"/>
    </xf>
    <xf numFmtId="2" fontId="41" fillId="0" borderId="10" xfId="65" applyNumberFormat="1" applyFont="1" applyBorder="1" applyAlignment="1">
      <alignment horizontal="center" vertical="center"/>
    </xf>
    <xf numFmtId="4" fontId="41" fillId="0" borderId="67" xfId="65" applyNumberFormat="1" applyFont="1" applyBorder="1" applyAlignment="1">
      <alignment horizontal="center" vertical="center"/>
    </xf>
    <xf numFmtId="0" fontId="41" fillId="0" borderId="67" xfId="65" applyFont="1" applyBorder="1" applyAlignment="1">
      <alignment vertical="center"/>
    </xf>
    <xf numFmtId="0" fontId="41" fillId="0" borderId="19" xfId="65" applyFont="1" applyBorder="1" applyAlignment="1">
      <alignment horizontal="right" vertical="center"/>
    </xf>
    <xf numFmtId="0" fontId="41" fillId="0" borderId="0" xfId="65" applyFont="1" applyAlignment="1">
      <alignment horizontal="center" vertical="center" wrapText="1"/>
    </xf>
    <xf numFmtId="0" fontId="40" fillId="0" borderId="72" xfId="65" applyFont="1" applyBorder="1" applyAlignment="1">
      <alignment horizontal="center" vertical="center"/>
    </xf>
    <xf numFmtId="0" fontId="41" fillId="42" borderId="0" xfId="65" applyFont="1" applyFill="1" applyAlignment="1">
      <alignment horizontal="left" vertical="center"/>
    </xf>
    <xf numFmtId="0" fontId="41" fillId="43" borderId="0" xfId="65" applyFont="1" applyFill="1" applyAlignment="1">
      <alignment vertical="center"/>
    </xf>
    <xf numFmtId="0" fontId="41" fillId="43" borderId="0" xfId="65" applyFont="1" applyFill="1" applyAlignment="1">
      <alignment horizontal="left" vertical="center"/>
    </xf>
    <xf numFmtId="0" fontId="41" fillId="43" borderId="0" xfId="65" applyFont="1" applyFill="1" applyAlignment="1">
      <alignment horizontal="center" vertical="center"/>
    </xf>
    <xf numFmtId="4" fontId="41" fillId="43" borderId="0" xfId="65" applyNumberFormat="1" applyFont="1" applyFill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0" fillId="0" borderId="10" xfId="65" applyFont="1" applyBorder="1" applyAlignment="1">
      <alignment horizontal="center" vertical="center" wrapText="1"/>
    </xf>
    <xf numFmtId="186" fontId="41" fillId="0" borderId="10" xfId="65" applyNumberFormat="1" applyFont="1" applyBorder="1" applyAlignment="1">
      <alignment horizontal="center" vertical="center"/>
    </xf>
    <xf numFmtId="2" fontId="41" fillId="0" borderId="72" xfId="65" applyNumberFormat="1" applyFont="1" applyBorder="1" applyAlignment="1">
      <alignment horizontal="center" vertical="center"/>
    </xf>
    <xf numFmtId="2" fontId="40" fillId="0" borderId="72" xfId="65" applyNumberFormat="1" applyFont="1" applyBorder="1" applyAlignment="1">
      <alignment horizontal="center" vertical="center"/>
    </xf>
    <xf numFmtId="187" fontId="41" fillId="0" borderId="10" xfId="65" applyNumberFormat="1" applyFont="1" applyBorder="1" applyAlignment="1">
      <alignment horizontal="center" vertical="center"/>
    </xf>
    <xf numFmtId="188" fontId="41" fillId="0" borderId="10" xfId="65" applyNumberFormat="1" applyFont="1" applyBorder="1" applyAlignment="1">
      <alignment horizontal="center" vertical="center"/>
    </xf>
    <xf numFmtId="189" fontId="41" fillId="0" borderId="10" xfId="65" applyNumberFormat="1" applyFont="1" applyBorder="1" applyAlignment="1">
      <alignment horizontal="center" vertical="center"/>
    </xf>
    <xf numFmtId="190" fontId="41" fillId="0" borderId="10" xfId="65" applyNumberFormat="1" applyFont="1" applyBorder="1" applyAlignment="1">
      <alignment horizontal="center" vertical="center"/>
    </xf>
    <xf numFmtId="4" fontId="40" fillId="0" borderId="0" xfId="65" applyNumberFormat="1" applyFont="1" applyAlignment="1">
      <alignment horizontal="left" vertical="center"/>
    </xf>
    <xf numFmtId="4" fontId="41" fillId="0" borderId="71" xfId="65" applyNumberFormat="1" applyFont="1" applyBorder="1" applyAlignment="1">
      <alignment horizontal="center" vertical="center"/>
    </xf>
    <xf numFmtId="0" fontId="41" fillId="0" borderId="71" xfId="65" applyFont="1" applyBorder="1" applyAlignment="1">
      <alignment vertical="center"/>
    </xf>
    <xf numFmtId="0" fontId="41" fillId="0" borderId="63" xfId="65" applyFont="1" applyBorder="1" applyAlignment="1">
      <alignment horizontal="right" vertical="center"/>
    </xf>
    <xf numFmtId="2" fontId="41" fillId="0" borderId="78" xfId="65" applyNumberFormat="1" applyFont="1" applyBorder="1" applyAlignment="1">
      <alignment horizontal="center" vertical="center"/>
    </xf>
    <xf numFmtId="0" fontId="41" fillId="0" borderId="67" xfId="65" applyFont="1" applyBorder="1" applyAlignment="1">
      <alignment horizontal="center" vertical="center"/>
    </xf>
    <xf numFmtId="0" fontId="41" fillId="0" borderId="67" xfId="65" applyFont="1" applyBorder="1" applyAlignment="1">
      <alignment horizontal="center" vertical="center" wrapText="1"/>
    </xf>
    <xf numFmtId="188" fontId="41" fillId="0" borderId="72" xfId="65" applyNumberFormat="1" applyFont="1" applyBorder="1" applyAlignment="1">
      <alignment horizontal="center" vertical="center"/>
    </xf>
    <xf numFmtId="191" fontId="41" fillId="0" borderId="10" xfId="65" applyNumberFormat="1" applyFont="1" applyBorder="1" applyAlignment="1">
      <alignment horizontal="center" vertical="center"/>
    </xf>
    <xf numFmtId="192" fontId="41" fillId="0" borderId="10" xfId="65" applyNumberFormat="1" applyFont="1" applyBorder="1" applyAlignment="1">
      <alignment horizontal="center" vertical="center"/>
    </xf>
    <xf numFmtId="4" fontId="41" fillId="0" borderId="75" xfId="65" applyNumberFormat="1" applyFont="1" applyBorder="1" applyAlignment="1">
      <alignment horizontal="center" vertical="center"/>
    </xf>
    <xf numFmtId="188" fontId="40" fillId="0" borderId="72" xfId="65" applyNumberFormat="1" applyFont="1" applyBorder="1" applyAlignment="1">
      <alignment horizontal="center" vertical="center"/>
    </xf>
    <xf numFmtId="0" fontId="41" fillId="0" borderId="63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left" vertical="center" wrapText="1"/>
    </xf>
    <xf numFmtId="4" fontId="41" fillId="0" borderId="13" xfId="65" applyNumberFormat="1" applyFont="1" applyBorder="1" applyAlignment="1">
      <alignment horizontal="center" vertical="center"/>
    </xf>
    <xf numFmtId="186" fontId="41" fillId="0" borderId="13" xfId="65" applyNumberFormat="1" applyFont="1" applyBorder="1" applyAlignment="1">
      <alignment horizontal="center" vertical="center" wrapText="1"/>
    </xf>
    <xf numFmtId="193" fontId="41" fillId="0" borderId="13" xfId="65" applyNumberFormat="1" applyFont="1" applyBorder="1" applyAlignment="1">
      <alignment horizontal="center" vertical="center" wrapText="1"/>
    </xf>
    <xf numFmtId="188" fontId="41" fillId="0" borderId="13" xfId="65" applyNumberFormat="1" applyFont="1" applyBorder="1" applyAlignment="1">
      <alignment horizontal="center" vertical="center" wrapText="1"/>
    </xf>
    <xf numFmtId="0" fontId="41" fillId="0" borderId="62" xfId="65" applyFont="1" applyBorder="1" applyAlignment="1">
      <alignment vertical="center" wrapText="1"/>
    </xf>
    <xf numFmtId="0" fontId="41" fillId="0" borderId="12" xfId="65" applyFont="1" applyBorder="1" applyAlignment="1">
      <alignment vertical="center" wrapText="1"/>
    </xf>
    <xf numFmtId="0" fontId="41" fillId="0" borderId="73" xfId="65" applyFont="1" applyBorder="1" applyAlignment="1">
      <alignment horizontal="center" vertical="center"/>
    </xf>
    <xf numFmtId="4" fontId="41" fillId="0" borderId="12" xfId="65" applyNumberFormat="1" applyFont="1" applyBorder="1" applyAlignment="1">
      <alignment horizontal="center" vertical="center"/>
    </xf>
    <xf numFmtId="186" fontId="41" fillId="0" borderId="12" xfId="65" applyNumberFormat="1" applyFont="1" applyBorder="1" applyAlignment="1">
      <alignment horizontal="center" vertical="center" wrapText="1"/>
    </xf>
    <xf numFmtId="2" fontId="41" fillId="0" borderId="12" xfId="65" applyNumberFormat="1" applyFont="1" applyBorder="1" applyAlignment="1">
      <alignment horizontal="center" vertical="center"/>
    </xf>
    <xf numFmtId="2" fontId="41" fillId="0" borderId="73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 wrapText="1"/>
    </xf>
    <xf numFmtId="186" fontId="41" fillId="0" borderId="10" xfId="65" applyNumberFormat="1" applyFont="1" applyBorder="1" applyAlignment="1">
      <alignment horizontal="center" vertical="center" wrapText="1"/>
    </xf>
    <xf numFmtId="0" fontId="41" fillId="0" borderId="10" xfId="65" applyFont="1" applyBorder="1" applyAlignment="1">
      <alignment vertical="center" wrapText="1"/>
    </xf>
    <xf numFmtId="194" fontId="41" fillId="0" borderId="10" xfId="65" applyNumberFormat="1" applyFont="1" applyBorder="1" applyAlignment="1">
      <alignment horizontal="center" vertical="center" wrapText="1"/>
    </xf>
    <xf numFmtId="4" fontId="41" fillId="0" borderId="73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vertical="center" wrapText="1"/>
    </xf>
    <xf numFmtId="2" fontId="41" fillId="0" borderId="10" xfId="65" applyNumberFormat="1" applyFont="1" applyBorder="1" applyAlignment="1">
      <alignment horizontal="center" vertical="center" wrapText="1"/>
    </xf>
    <xf numFmtId="0" fontId="41" fillId="0" borderId="62" xfId="65" applyFont="1" applyBorder="1" applyAlignment="1">
      <alignment horizontal="left" vertical="center" wrapText="1"/>
    </xf>
    <xf numFmtId="195" fontId="41" fillId="0" borderId="10" xfId="65" applyNumberFormat="1" applyFont="1" applyBorder="1" applyAlignment="1">
      <alignment horizontal="center" vertical="center" wrapText="1"/>
    </xf>
    <xf numFmtId="0" fontId="40" fillId="0" borderId="71" xfId="65" applyFont="1" applyBorder="1" applyAlignment="1">
      <alignment vertical="center" wrapText="1"/>
    </xf>
    <xf numFmtId="0" fontId="40" fillId="0" borderId="0" xfId="65" applyFont="1" applyAlignment="1">
      <alignment vertical="center" wrapText="1"/>
    </xf>
    <xf numFmtId="0" fontId="41" fillId="0" borderId="10" xfId="65" applyFont="1" applyBorder="1" applyAlignment="1">
      <alignment horizontal="left" vertical="center"/>
    </xf>
    <xf numFmtId="0" fontId="41" fillId="0" borderId="72" xfId="65" applyFont="1" applyBorder="1" applyAlignment="1">
      <alignment horizontal="center" vertical="center" wrapText="1"/>
    </xf>
    <xf numFmtId="0" fontId="41" fillId="0" borderId="12" xfId="65" applyFont="1" applyBorder="1" applyAlignment="1">
      <alignment horizontal="left" vertical="center" wrapText="1"/>
    </xf>
    <xf numFmtId="186" fontId="41" fillId="0" borderId="12" xfId="65" applyNumberFormat="1" applyFont="1" applyBorder="1" applyAlignment="1">
      <alignment horizontal="center" vertical="center"/>
    </xf>
    <xf numFmtId="2" fontId="41" fillId="0" borderId="72" xfId="65" applyNumberFormat="1" applyFont="1" applyBorder="1" applyAlignment="1">
      <alignment horizontal="center" vertical="center" wrapText="1"/>
    </xf>
    <xf numFmtId="0" fontId="41" fillId="0" borderId="71" xfId="65" applyFont="1" applyBorder="1" applyAlignment="1">
      <alignment horizontal="left" vertical="center"/>
    </xf>
    <xf numFmtId="0" fontId="41" fillId="0" borderId="71" xfId="65" applyFont="1" applyBorder="1" applyAlignment="1">
      <alignment horizontal="right" vertical="center"/>
    </xf>
    <xf numFmtId="0" fontId="41" fillId="0" borderId="67" xfId="65" applyFont="1" applyBorder="1" applyAlignment="1">
      <alignment horizontal="left" vertical="center"/>
    </xf>
    <xf numFmtId="0" fontId="41" fillId="36" borderId="0" xfId="65" applyFont="1" applyFill="1" applyAlignment="1">
      <alignment vertical="center"/>
    </xf>
    <xf numFmtId="0" fontId="41" fillId="36" borderId="0" xfId="65" applyFont="1" applyFill="1" applyAlignment="1">
      <alignment horizontal="left" vertical="center"/>
    </xf>
    <xf numFmtId="4" fontId="41" fillId="36" borderId="0" xfId="65" applyNumberFormat="1" applyFont="1" applyFill="1" applyAlignment="1">
      <alignment horizontal="center" vertical="center"/>
    </xf>
    <xf numFmtId="0" fontId="41" fillId="0" borderId="62" xfId="65" applyFont="1" applyBorder="1" applyAlignment="1">
      <alignment horizontal="left" vertical="center"/>
    </xf>
    <xf numFmtId="2" fontId="41" fillId="43" borderId="0" xfId="65" applyNumberFormat="1" applyFont="1" applyFill="1" applyAlignment="1">
      <alignment horizontal="left" vertical="center"/>
    </xf>
    <xf numFmtId="0" fontId="65" fillId="37" borderId="10" xfId="73" applyFont="1" applyFill="1" applyBorder="1" applyAlignment="1">
      <alignment horizontal="center" vertical="center"/>
    </xf>
    <xf numFmtId="0" fontId="76" fillId="36" borderId="0" xfId="73" applyFont="1" applyFill="1"/>
    <xf numFmtId="0" fontId="65" fillId="0" borderId="10" xfId="196" applyFont="1" applyBorder="1" applyAlignment="1">
      <alignment horizontal="center" vertical="center"/>
    </xf>
    <xf numFmtId="0" fontId="65" fillId="0" borderId="72" xfId="196" applyFont="1" applyBorder="1" applyAlignment="1">
      <alignment horizontal="center" vertical="center"/>
    </xf>
    <xf numFmtId="0" fontId="65" fillId="0" borderId="0" xfId="196" applyFont="1" applyAlignment="1">
      <alignment vertical="center"/>
    </xf>
    <xf numFmtId="0" fontId="65" fillId="0" borderId="19" xfId="196" applyFont="1" applyBorder="1" applyAlignment="1">
      <alignment horizontal="right" vertical="center"/>
    </xf>
    <xf numFmtId="0" fontId="65" fillId="0" borderId="19" xfId="196" applyFont="1" applyBorder="1" applyAlignment="1">
      <alignment vertical="center"/>
    </xf>
    <xf numFmtId="0" fontId="65" fillId="0" borderId="10" xfId="196" applyFont="1" applyBorder="1" applyAlignment="1">
      <alignment vertical="center" wrapText="1"/>
    </xf>
    <xf numFmtId="0" fontId="64" fillId="0" borderId="0" xfId="196" applyFont="1" applyAlignment="1">
      <alignment vertical="center"/>
    </xf>
    <xf numFmtId="2" fontId="65" fillId="0" borderId="72" xfId="196" applyNumberFormat="1" applyFont="1" applyBorder="1" applyAlignment="1">
      <alignment horizontal="center" vertical="center"/>
    </xf>
    <xf numFmtId="193" fontId="65" fillId="0" borderId="10" xfId="196" applyNumberFormat="1" applyFont="1" applyBorder="1" applyAlignment="1">
      <alignment horizontal="center" vertical="center"/>
    </xf>
    <xf numFmtId="2" fontId="65" fillId="0" borderId="10" xfId="196" applyNumberFormat="1" applyFont="1" applyBorder="1" applyAlignment="1">
      <alignment horizontal="center" vertical="center"/>
    </xf>
    <xf numFmtId="2" fontId="65" fillId="0" borderId="67" xfId="196" applyNumberFormat="1" applyFont="1" applyBorder="1" applyAlignment="1">
      <alignment horizontal="center" vertical="center"/>
    </xf>
    <xf numFmtId="0" fontId="65" fillId="0" borderId="0" xfId="196" applyFont="1" applyAlignment="1">
      <alignment horizontal="left" vertical="center"/>
    </xf>
    <xf numFmtId="2" fontId="65" fillId="0" borderId="0" xfId="196" applyNumberFormat="1" applyFont="1" applyAlignment="1">
      <alignment horizontal="left" vertical="center"/>
    </xf>
    <xf numFmtId="0" fontId="65" fillId="0" borderId="67" xfId="196" applyFont="1" applyBorder="1" applyAlignment="1">
      <alignment vertical="center"/>
    </xf>
    <xf numFmtId="2" fontId="64" fillId="0" borderId="0" xfId="196" applyNumberFormat="1" applyFont="1" applyAlignment="1">
      <alignment horizontal="left" vertical="center"/>
    </xf>
    <xf numFmtId="0" fontId="41" fillId="0" borderId="67" xfId="65" applyFont="1" applyBorder="1" applyAlignment="1">
      <alignment horizontal="right" vertical="center"/>
    </xf>
    <xf numFmtId="2" fontId="41" fillId="0" borderId="0" xfId="65" applyNumberFormat="1" applyFont="1" applyAlignment="1">
      <alignment horizontal="left" vertical="center"/>
    </xf>
    <xf numFmtId="2" fontId="40" fillId="0" borderId="0" xfId="65" applyNumberFormat="1" applyFont="1" applyAlignment="1">
      <alignment horizontal="left" vertical="center"/>
    </xf>
    <xf numFmtId="0" fontId="21" fillId="37" borderId="0" xfId="0" applyFont="1" applyFill="1"/>
    <xf numFmtId="0" fontId="67" fillId="0" borderId="0" xfId="0" applyFont="1"/>
    <xf numFmtId="0" fontId="80" fillId="37" borderId="0" xfId="0" applyFont="1" applyFill="1" applyAlignment="1">
      <alignment horizontal="left" vertical="center"/>
    </xf>
    <xf numFmtId="0" fontId="64" fillId="0" borderId="0" xfId="0" applyFont="1"/>
    <xf numFmtId="0" fontId="76" fillId="42" borderId="0" xfId="73" applyFont="1" applyFill="1"/>
    <xf numFmtId="0" fontId="65" fillId="0" borderId="19" xfId="196" applyFont="1" applyBorder="1" applyAlignment="1">
      <alignment horizontal="left" vertical="center"/>
    </xf>
    <xf numFmtId="0" fontId="40" fillId="0" borderId="0" xfId="65" applyFont="1" applyAlignment="1">
      <alignment horizontal="center" vertical="center" wrapText="1"/>
    </xf>
    <xf numFmtId="0" fontId="41" fillId="42" borderId="0" xfId="65" applyFont="1" applyFill="1" applyAlignment="1">
      <alignment vertical="center"/>
    </xf>
    <xf numFmtId="0" fontId="21" fillId="0" borderId="10" xfId="0" applyFont="1" applyBorder="1" applyAlignment="1">
      <alignment horizontal="center" vertical="center"/>
    </xf>
    <xf numFmtId="2" fontId="21" fillId="0" borderId="7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65" fillId="37" borderId="10" xfId="73" applyFont="1" applyFill="1" applyBorder="1" applyAlignment="1">
      <alignment horizontal="left" vertical="center" wrapText="1"/>
    </xf>
    <xf numFmtId="0" fontId="65" fillId="0" borderId="10" xfId="73" applyFont="1" applyBorder="1" applyAlignment="1">
      <alignment horizontal="left" vertical="center" wrapText="1"/>
    </xf>
    <xf numFmtId="193" fontId="65" fillId="37" borderId="10" xfId="73" applyNumberFormat="1" applyFont="1" applyFill="1" applyBorder="1" applyAlignment="1">
      <alignment horizontal="center" vertical="center"/>
    </xf>
    <xf numFmtId="0" fontId="65" fillId="0" borderId="10" xfId="73" applyFont="1" applyBorder="1" applyAlignment="1">
      <alignment horizontal="center" vertical="center"/>
    </xf>
    <xf numFmtId="0" fontId="65" fillId="37" borderId="72" xfId="73" applyFont="1" applyFill="1" applyBorder="1" applyAlignment="1">
      <alignment horizontal="center" vertical="center"/>
    </xf>
    <xf numFmtId="2" fontId="65" fillId="0" borderId="10" xfId="73" applyNumberFormat="1" applyFont="1" applyBorder="1" applyAlignment="1">
      <alignment horizontal="center" vertical="center"/>
    </xf>
    <xf numFmtId="0" fontId="65" fillId="37" borderId="0" xfId="73" applyFont="1" applyFill="1"/>
    <xf numFmtId="2" fontId="21" fillId="0" borderId="10" xfId="0" applyNumberFormat="1" applyFont="1" applyBorder="1" applyAlignment="1">
      <alignment horizontal="center" vertical="center"/>
    </xf>
    <xf numFmtId="2" fontId="21" fillId="0" borderId="67" xfId="0" applyNumberFormat="1" applyFont="1" applyBorder="1" applyAlignment="1">
      <alignment horizontal="center" vertical="center"/>
    </xf>
    <xf numFmtId="0" fontId="21" fillId="42" borderId="0" xfId="0" applyFont="1" applyFill="1"/>
    <xf numFmtId="0" fontId="6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2" fontId="65" fillId="0" borderId="72" xfId="194" applyNumberFormat="1" applyFont="1" applyBorder="1" applyAlignment="1">
      <alignment horizontal="center" vertical="center"/>
    </xf>
    <xf numFmtId="2" fontId="65" fillId="0" borderId="10" xfId="194" applyNumberFormat="1" applyFont="1" applyBorder="1" applyAlignment="1">
      <alignment horizontal="center" vertical="center"/>
    </xf>
    <xf numFmtId="0" fontId="65" fillId="0" borderId="19" xfId="194" applyFont="1" applyBorder="1" applyAlignment="1">
      <alignment horizontal="right" vertical="center"/>
    </xf>
    <xf numFmtId="2" fontId="64" fillId="0" borderId="72" xfId="194" applyNumberFormat="1" applyFont="1" applyBorder="1" applyAlignment="1">
      <alignment horizontal="center" vertical="center"/>
    </xf>
    <xf numFmtId="0" fontId="65" fillId="36" borderId="0" xfId="194" applyFont="1" applyFill="1"/>
    <xf numFmtId="0" fontId="65" fillId="42" borderId="0" xfId="194" applyFont="1" applyFill="1"/>
    <xf numFmtId="0" fontId="64" fillId="0" borderId="0" xfId="194" applyFont="1" applyAlignment="1">
      <alignment vertical="center"/>
    </xf>
    <xf numFmtId="0" fontId="64" fillId="0" borderId="0" xfId="194" applyFont="1" applyAlignment="1">
      <alignment horizontal="center" vertical="center"/>
    </xf>
    <xf numFmtId="0" fontId="80" fillId="0" borderId="0" xfId="0" applyFont="1" applyAlignment="1">
      <alignment vertical="center"/>
    </xf>
    <xf numFmtId="0" fontId="76" fillId="37" borderId="0" xfId="73" applyFont="1" applyFill="1" applyAlignment="1">
      <alignment vertical="center"/>
    </xf>
    <xf numFmtId="0" fontId="65" fillId="37" borderId="67" xfId="73" applyFont="1" applyFill="1" applyBorder="1" applyAlignment="1">
      <alignment vertical="center"/>
    </xf>
    <xf numFmtId="0" fontId="65" fillId="37" borderId="0" xfId="73" applyFont="1" applyFill="1" applyAlignment="1">
      <alignment horizontal="left" vertical="center"/>
    </xf>
    <xf numFmtId="0" fontId="76" fillId="37" borderId="67" xfId="73" applyFont="1" applyFill="1" applyBorder="1" applyAlignment="1">
      <alignment vertical="center"/>
    </xf>
    <xf numFmtId="0" fontId="65" fillId="0" borderId="19" xfId="73" applyFont="1" applyBorder="1" applyAlignment="1">
      <alignment horizontal="left" vertical="center"/>
    </xf>
    <xf numFmtId="0" fontId="64" fillId="37" borderId="0" xfId="73" applyFont="1" applyFill="1" applyAlignment="1">
      <alignment vertical="center"/>
    </xf>
    <xf numFmtId="2" fontId="65" fillId="37" borderId="72" xfId="73" applyNumberFormat="1" applyFont="1" applyFill="1" applyBorder="1" applyAlignment="1">
      <alignment horizontal="center" vertical="center"/>
    </xf>
    <xf numFmtId="2" fontId="65" fillId="37" borderId="10" xfId="73" applyNumberFormat="1" applyFont="1" applyFill="1" applyBorder="1" applyAlignment="1">
      <alignment horizontal="center" vertical="center"/>
    </xf>
    <xf numFmtId="2" fontId="64" fillId="37" borderId="0" xfId="73" applyNumberFormat="1" applyFont="1" applyFill="1" applyAlignment="1">
      <alignment horizontal="left" vertical="center"/>
    </xf>
    <xf numFmtId="0" fontId="65" fillId="37" borderId="67" xfId="73" applyFont="1" applyFill="1" applyBorder="1" applyAlignment="1">
      <alignment horizontal="right" vertical="center"/>
    </xf>
    <xf numFmtId="2" fontId="64" fillId="37" borderId="72" xfId="73" applyNumberFormat="1" applyFont="1" applyFill="1" applyBorder="1" applyAlignment="1">
      <alignment horizontal="center" vertical="center"/>
    </xf>
    <xf numFmtId="188" fontId="21" fillId="0" borderId="78" xfId="0" applyNumberFormat="1" applyFont="1" applyBorder="1" applyAlignment="1">
      <alignment horizontal="center" vertical="center"/>
    </xf>
    <xf numFmtId="188" fontId="21" fillId="0" borderId="72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right" vertical="center"/>
    </xf>
    <xf numFmtId="188" fontId="80" fillId="0" borderId="72" xfId="0" applyNumberFormat="1" applyFont="1" applyBorder="1" applyAlignment="1">
      <alignment horizontal="center" vertical="center"/>
    </xf>
    <xf numFmtId="0" fontId="65" fillId="0" borderId="10" xfId="194" applyFont="1" applyBorder="1" applyAlignment="1">
      <alignment horizontal="center" vertical="center"/>
    </xf>
    <xf numFmtId="188" fontId="65" fillId="0" borderId="72" xfId="194" applyNumberFormat="1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65" fillId="0" borderId="72" xfId="194" applyFont="1" applyBorder="1" applyAlignment="1">
      <alignment horizontal="center" vertical="center"/>
    </xf>
    <xf numFmtId="0" fontId="64" fillId="0" borderId="72" xfId="194" applyFont="1" applyBorder="1" applyAlignment="1">
      <alignment horizontal="center" vertical="center"/>
    </xf>
    <xf numFmtId="0" fontId="65" fillId="0" borderId="67" xfId="196" applyFont="1" applyBorder="1" applyAlignment="1">
      <alignment horizontal="left" vertical="center"/>
    </xf>
    <xf numFmtId="0" fontId="21" fillId="0" borderId="72" xfId="0" applyFont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9" xfId="0" applyFont="1" applyBorder="1" applyAlignment="1">
      <alignment horizontal="right"/>
    </xf>
    <xf numFmtId="0" fontId="65" fillId="0" borderId="19" xfId="194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64" fillId="0" borderId="71" xfId="0" applyFont="1" applyBorder="1" applyAlignment="1">
      <alignment vertical="center" wrapText="1"/>
    </xf>
    <xf numFmtId="0" fontId="65" fillId="0" borderId="10" xfId="194" applyFont="1" applyBorder="1" applyAlignment="1">
      <alignment vertical="center" wrapText="1"/>
    </xf>
    <xf numFmtId="0" fontId="64" fillId="0" borderId="0" xfId="194" applyFont="1" applyAlignment="1">
      <alignment vertical="top"/>
    </xf>
    <xf numFmtId="0" fontId="65" fillId="0" borderId="0" xfId="194" applyFont="1" applyAlignment="1">
      <alignment wrapText="1"/>
    </xf>
    <xf numFmtId="0" fontId="65" fillId="0" borderId="0" xfId="194" applyFont="1" applyAlignment="1">
      <alignment vertical="center"/>
    </xf>
    <xf numFmtId="0" fontId="65" fillId="44" borderId="0" xfId="194" applyFont="1" applyFill="1"/>
    <xf numFmtId="188" fontId="65" fillId="0" borderId="10" xfId="194" applyNumberFormat="1" applyFont="1" applyBorder="1" applyAlignment="1">
      <alignment horizontal="center" vertical="center"/>
    </xf>
    <xf numFmtId="0" fontId="65" fillId="0" borderId="19" xfId="194" applyFont="1" applyBorder="1" applyAlignment="1">
      <alignment horizontal="left" vertical="center"/>
    </xf>
    <xf numFmtId="0" fontId="65" fillId="0" borderId="10" xfId="194" applyFont="1" applyBorder="1" applyAlignment="1">
      <alignment horizontal="left" vertical="center" wrapText="1"/>
    </xf>
    <xf numFmtId="0" fontId="41" fillId="0" borderId="12" xfId="65" applyFont="1" applyBorder="1" applyAlignment="1">
      <alignment horizontal="center" vertical="center"/>
    </xf>
    <xf numFmtId="0" fontId="67" fillId="0" borderId="0" xfId="194" applyFont="1"/>
    <xf numFmtId="0" fontId="65" fillId="0" borderId="10" xfId="194" applyFont="1" applyBorder="1" applyAlignment="1">
      <alignment vertical="center"/>
    </xf>
    <xf numFmtId="0" fontId="41" fillId="0" borderId="67" xfId="65" applyFont="1" applyBorder="1" applyAlignment="1">
      <alignment horizontal="left" vertical="center" wrapText="1"/>
    </xf>
    <xf numFmtId="0" fontId="64" fillId="0" borderId="0" xfId="194" applyFont="1" applyAlignment="1">
      <alignment vertical="center" wrapText="1"/>
    </xf>
    <xf numFmtId="188" fontId="41" fillId="0" borderId="0" xfId="65" applyNumberFormat="1" applyFont="1" applyAlignment="1">
      <alignment horizontal="left" vertical="center"/>
    </xf>
    <xf numFmtId="188" fontId="40" fillId="0" borderId="0" xfId="65" applyNumberFormat="1" applyFont="1" applyAlignment="1">
      <alignment horizontal="left" vertical="center"/>
    </xf>
    <xf numFmtId="43" fontId="21" fillId="0" borderId="72" xfId="43" applyFont="1" applyBorder="1" applyAlignment="1">
      <alignment horizontal="center" vertical="center"/>
    </xf>
    <xf numFmtId="0" fontId="41" fillId="36" borderId="31" xfId="65" applyFont="1" applyFill="1" applyBorder="1" applyAlignment="1">
      <alignment vertical="center"/>
    </xf>
    <xf numFmtId="4" fontId="41" fillId="36" borderId="31" xfId="65" applyNumberFormat="1" applyFont="1" applyFill="1" applyBorder="1" applyAlignment="1">
      <alignment horizontal="center" vertical="center"/>
    </xf>
    <xf numFmtId="0" fontId="41" fillId="36" borderId="31" xfId="65" applyFont="1" applyFill="1" applyBorder="1" applyAlignment="1">
      <alignment horizontal="left" vertical="center"/>
    </xf>
    <xf numFmtId="0" fontId="41" fillId="36" borderId="0" xfId="65" applyFont="1" applyFill="1" applyAlignment="1">
      <alignment horizontal="left" vertical="center" wrapText="1"/>
    </xf>
    <xf numFmtId="188" fontId="40" fillId="36" borderId="0" xfId="65" applyNumberFormat="1" applyFont="1" applyFill="1" applyAlignment="1">
      <alignment horizontal="left" vertical="center"/>
    </xf>
    <xf numFmtId="0" fontId="65" fillId="0" borderId="67" xfId="194" applyFont="1" applyBorder="1" applyAlignment="1">
      <alignment horizontal="right" vertical="center"/>
    </xf>
    <xf numFmtId="2" fontId="64" fillId="0" borderId="0" xfId="194" applyNumberFormat="1" applyFont="1" applyAlignment="1">
      <alignment horizontal="left"/>
    </xf>
    <xf numFmtId="193" fontId="65" fillId="0" borderId="10" xfId="194" applyNumberFormat="1" applyFont="1" applyBorder="1" applyAlignment="1">
      <alignment horizontal="center" vertical="center"/>
    </xf>
    <xf numFmtId="0" fontId="64" fillId="0" borderId="0" xfId="194" applyFont="1" applyAlignment="1">
      <alignment horizontal="left" vertical="center"/>
    </xf>
    <xf numFmtId="0" fontId="65" fillId="0" borderId="67" xfId="194" applyFont="1" applyBorder="1" applyAlignment="1">
      <alignment horizontal="left" vertical="center"/>
    </xf>
    <xf numFmtId="2" fontId="65" fillId="0" borderId="0" xfId="194" applyNumberFormat="1" applyFont="1" applyAlignment="1">
      <alignment horizontal="left" vertical="center"/>
    </xf>
    <xf numFmtId="2" fontId="64" fillId="0" borderId="0" xfId="194" applyNumberFormat="1" applyFont="1" applyAlignment="1">
      <alignment horizontal="left" vertical="center"/>
    </xf>
    <xf numFmtId="0" fontId="64" fillId="0" borderId="71" xfId="194" applyFont="1" applyBorder="1" applyAlignment="1">
      <alignment vertical="center" wrapText="1"/>
    </xf>
    <xf numFmtId="0" fontId="65" fillId="0" borderId="0" xfId="194" applyFont="1" applyAlignment="1">
      <alignment horizontal="left" vertical="center"/>
    </xf>
    <xf numFmtId="0" fontId="41" fillId="0" borderId="75" xfId="65" applyFont="1" applyBorder="1" applyAlignment="1">
      <alignment horizontal="left" vertical="center"/>
    </xf>
    <xf numFmtId="0" fontId="65" fillId="0" borderId="75" xfId="194" applyFont="1" applyBorder="1"/>
    <xf numFmtId="0" fontId="41" fillId="0" borderId="63" xfId="65" applyFont="1" applyBorder="1" applyAlignment="1">
      <alignment horizontal="left" vertical="center"/>
    </xf>
    <xf numFmtId="166" fontId="33" fillId="0" borderId="10" xfId="142" applyFont="1" applyBorder="1" applyAlignment="1">
      <alignment horizontal="right" vertical="center"/>
    </xf>
    <xf numFmtId="0" fontId="64" fillId="37" borderId="0" xfId="0" applyFont="1" applyFill="1"/>
    <xf numFmtId="0" fontId="76" fillId="0" borderId="0" xfId="73" applyFont="1"/>
    <xf numFmtId="0" fontId="65" fillId="0" borderId="0" xfId="73" applyFont="1"/>
    <xf numFmtId="0" fontId="40" fillId="0" borderId="0" xfId="65" applyFont="1" applyAlignment="1">
      <alignment vertical="top" wrapText="1"/>
    </xf>
    <xf numFmtId="196" fontId="41" fillId="0" borderId="10" xfId="65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41" fillId="0" borderId="10" xfId="65" applyFont="1" applyBorder="1" applyAlignment="1">
      <alignment vertical="center"/>
    </xf>
    <xf numFmtId="0" fontId="40" fillId="0" borderId="0" xfId="65" applyFont="1" applyAlignment="1">
      <alignment horizontal="left" vertical="top" wrapText="1"/>
    </xf>
    <xf numFmtId="4" fontId="40" fillId="0" borderId="0" xfId="65" applyNumberFormat="1" applyFont="1" applyAlignment="1">
      <alignment horizontal="center" vertical="top"/>
    </xf>
    <xf numFmtId="4" fontId="40" fillId="0" borderId="0" xfId="65" applyNumberFormat="1" applyFont="1" applyAlignment="1">
      <alignment horizontal="left" vertical="top"/>
    </xf>
    <xf numFmtId="43" fontId="70" fillId="36" borderId="75" xfId="43" applyFont="1" applyFill="1" applyBorder="1" applyAlignment="1">
      <alignment vertical="center" wrapText="1"/>
    </xf>
    <xf numFmtId="2" fontId="41" fillId="0" borderId="10" xfId="65" applyNumberFormat="1" applyFont="1" applyBorder="1" applyAlignment="1">
      <alignment horizontal="left" vertical="center" wrapText="1"/>
    </xf>
    <xf numFmtId="2" fontId="41" fillId="0" borderId="10" xfId="65" applyNumberFormat="1" applyFont="1" applyBorder="1" applyAlignment="1">
      <alignment horizontal="left" vertical="center"/>
    </xf>
    <xf numFmtId="0" fontId="41" fillId="0" borderId="12" xfId="65" applyFont="1" applyBorder="1" applyAlignment="1">
      <alignment horizontal="left" vertical="center"/>
    </xf>
    <xf numFmtId="0" fontId="65" fillId="0" borderId="67" xfId="196" applyFont="1" applyBorder="1" applyAlignment="1">
      <alignment horizontal="right" vertical="center"/>
    </xf>
    <xf numFmtId="0" fontId="65" fillId="0" borderId="10" xfId="196" applyFont="1" applyBorder="1" applyAlignment="1">
      <alignment horizontal="left" wrapText="1"/>
    </xf>
    <xf numFmtId="188" fontId="65" fillId="0" borderId="10" xfId="196" applyNumberFormat="1" applyFont="1" applyBorder="1" applyAlignment="1">
      <alignment horizontal="center" vertical="center"/>
    </xf>
    <xf numFmtId="188" fontId="65" fillId="0" borderId="72" xfId="196" applyNumberFormat="1" applyFont="1" applyBorder="1" applyAlignment="1">
      <alignment horizontal="center" vertical="center"/>
    </xf>
    <xf numFmtId="0" fontId="64" fillId="0" borderId="72" xfId="196" applyFont="1" applyBorder="1" applyAlignment="1">
      <alignment horizontal="center" vertical="center"/>
    </xf>
    <xf numFmtId="0" fontId="64" fillId="0" borderId="0" xfId="196" applyFont="1" applyAlignment="1">
      <alignment horizontal="left" vertical="center"/>
    </xf>
    <xf numFmtId="0" fontId="65" fillId="42" borderId="0" xfId="196" applyFont="1" applyFill="1"/>
    <xf numFmtId="0" fontId="64" fillId="0" borderId="71" xfId="196" applyFont="1" applyBorder="1" applyAlignment="1">
      <alignment vertical="center" wrapText="1"/>
    </xf>
    <xf numFmtId="2" fontId="64" fillId="0" borderId="72" xfId="196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93" fontId="21" fillId="0" borderId="12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/>
    </xf>
    <xf numFmtId="191" fontId="41" fillId="0" borderId="12" xfId="65" applyNumberFormat="1" applyFont="1" applyBorder="1" applyAlignment="1">
      <alignment horizontal="center" vertical="center"/>
    </xf>
    <xf numFmtId="2" fontId="80" fillId="0" borderId="72" xfId="0" applyNumberFormat="1" applyFont="1" applyBorder="1" applyAlignment="1">
      <alignment horizontal="center" vertical="center"/>
    </xf>
    <xf numFmtId="0" fontId="64" fillId="37" borderId="0" xfId="0" applyFont="1" applyFill="1" applyAlignment="1">
      <alignment vertical="center" wrapText="1"/>
    </xf>
    <xf numFmtId="0" fontId="64" fillId="37" borderId="71" xfId="0" applyFont="1" applyFill="1" applyBorder="1" applyAlignment="1">
      <alignment vertical="center" wrapText="1"/>
    </xf>
    <xf numFmtId="0" fontId="81" fillId="0" borderId="0" xfId="73" applyFont="1"/>
    <xf numFmtId="0" fontId="64" fillId="37" borderId="71" xfId="73" applyFont="1" applyFill="1" applyBorder="1" applyAlignment="1">
      <alignment vertical="center" wrapText="1"/>
    </xf>
    <xf numFmtId="0" fontId="21" fillId="41" borderId="10" xfId="0" applyFont="1" applyFill="1" applyBorder="1" applyAlignment="1">
      <alignment horizontal="center" vertical="center"/>
    </xf>
    <xf numFmtId="43" fontId="78" fillId="0" borderId="0" xfId="43" applyFont="1" applyAlignment="1">
      <alignment vertical="center" wrapText="1"/>
    </xf>
    <xf numFmtId="4" fontId="71" fillId="36" borderId="79" xfId="0" applyNumberFormat="1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horizontal="right" vertical="center"/>
    </xf>
    <xf numFmtId="4" fontId="71" fillId="36" borderId="67" xfId="43" applyNumberFormat="1" applyFont="1" applyFill="1" applyBorder="1" applyAlignment="1">
      <alignment horizontal="right" vertical="center"/>
    </xf>
    <xf numFmtId="4" fontId="71" fillId="0" borderId="67" xfId="0" applyNumberFormat="1" applyFont="1" applyBorder="1" applyAlignment="1">
      <alignment horizontal="right" vertical="center"/>
    </xf>
    <xf numFmtId="4" fontId="71" fillId="0" borderId="75" xfId="0" applyNumberFormat="1" applyFont="1" applyBorder="1" applyAlignment="1">
      <alignment horizontal="right" vertical="center"/>
    </xf>
    <xf numFmtId="174" fontId="41" fillId="0" borderId="11" xfId="151" applyNumberFormat="1" applyFont="1" applyBorder="1" applyAlignment="1">
      <alignment horizontal="center" vertical="center"/>
    </xf>
    <xf numFmtId="174" fontId="41" fillId="0" borderId="16" xfId="151" applyNumberFormat="1" applyFont="1" applyBorder="1" applyAlignment="1">
      <alignment horizontal="center" vertical="center"/>
    </xf>
    <xf numFmtId="174" fontId="41" fillId="0" borderId="41" xfId="151" applyNumberFormat="1" applyFont="1" applyBorder="1" applyAlignment="1">
      <alignment horizontal="center" vertical="center"/>
    </xf>
    <xf numFmtId="174" fontId="57" fillId="0" borderId="16" xfId="151" applyNumberFormat="1" applyFont="1" applyBorder="1" applyAlignment="1">
      <alignment horizontal="centerContinuous" vertical="center"/>
    </xf>
    <xf numFmtId="174" fontId="57" fillId="0" borderId="17" xfId="151" applyNumberFormat="1" applyFont="1" applyBorder="1" applyAlignment="1">
      <alignment horizontal="centerContinuous" vertical="center"/>
    </xf>
    <xf numFmtId="174" fontId="57" fillId="0" borderId="50" xfId="151" applyNumberFormat="1" applyFont="1" applyBorder="1" applyAlignment="1">
      <alignment horizontal="centerContinuous" vertical="center"/>
    </xf>
    <xf numFmtId="0" fontId="57" fillId="0" borderId="36" xfId="151" applyFont="1" applyBorder="1" applyAlignment="1">
      <alignment horizontal="centerContinuous" vertical="center"/>
    </xf>
    <xf numFmtId="0" fontId="57" fillId="0" borderId="37" xfId="151" applyFont="1" applyBorder="1" applyAlignment="1">
      <alignment horizontal="centerContinuous" vertical="center"/>
    </xf>
    <xf numFmtId="174" fontId="57" fillId="0" borderId="36" xfId="151" applyNumberFormat="1" applyFont="1" applyBorder="1" applyAlignment="1">
      <alignment horizontal="centerContinuous" vertical="center"/>
    </xf>
    <xf numFmtId="174" fontId="57" fillId="0" borderId="37" xfId="151" applyNumberFormat="1" applyFont="1" applyBorder="1" applyAlignment="1">
      <alignment horizontal="centerContinuous" vertical="center"/>
    </xf>
    <xf numFmtId="0" fontId="21" fillId="0" borderId="12" xfId="0" applyFont="1" applyBorder="1" applyAlignment="1">
      <alignment vertical="center" wrapText="1"/>
    </xf>
    <xf numFmtId="4" fontId="71" fillId="0" borderId="10" xfId="43" applyNumberFormat="1" applyFont="1" applyBorder="1" applyAlignment="1">
      <alignment horizontal="center" vertical="center"/>
    </xf>
    <xf numFmtId="4" fontId="71" fillId="0" borderId="12" xfId="43" applyNumberFormat="1" applyFont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186" fontId="41" fillId="0" borderId="13" xfId="65" applyNumberFormat="1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 wrapText="1"/>
    </xf>
    <xf numFmtId="4" fontId="70" fillId="0" borderId="13" xfId="0" applyNumberFormat="1" applyFont="1" applyBorder="1" applyAlignment="1">
      <alignment horizontal="right" vertical="center"/>
    </xf>
    <xf numFmtId="4" fontId="70" fillId="0" borderId="17" xfId="0" applyNumberFormat="1" applyFont="1" applyBorder="1" applyAlignment="1">
      <alignment horizontal="center" vertical="center"/>
    </xf>
    <xf numFmtId="4" fontId="70" fillId="0" borderId="0" xfId="0" applyNumberFormat="1" applyFont="1" applyAlignment="1">
      <alignment horizontal="center" vertical="center"/>
    </xf>
    <xf numFmtId="4" fontId="70" fillId="36" borderId="67" xfId="43" applyNumberFormat="1" applyFont="1" applyFill="1" applyBorder="1" applyAlignment="1">
      <alignment horizontal="center" vertical="top"/>
    </xf>
    <xf numFmtId="4" fontId="70" fillId="0" borderId="67" xfId="43" applyNumberFormat="1" applyFont="1" applyBorder="1" applyAlignment="1">
      <alignment horizontal="center" vertical="top"/>
    </xf>
    <xf numFmtId="4" fontId="71" fillId="0" borderId="67" xfId="43" applyNumberFormat="1" applyFont="1" applyBorder="1" applyAlignment="1">
      <alignment horizontal="center" vertical="center"/>
    </xf>
    <xf numFmtId="4" fontId="70" fillId="36" borderId="67" xfId="43" applyNumberFormat="1" applyFont="1" applyFill="1" applyBorder="1" applyAlignment="1">
      <alignment horizontal="center" vertical="center"/>
    </xf>
    <xf numFmtId="4" fontId="70" fillId="0" borderId="71" xfId="43" applyNumberFormat="1" applyFont="1" applyBorder="1" applyAlignment="1">
      <alignment horizontal="center" vertical="center"/>
    </xf>
    <xf numFmtId="4" fontId="71" fillId="0" borderId="13" xfId="43" applyNumberFormat="1" applyFont="1" applyBorder="1" applyAlignment="1">
      <alignment horizontal="center" vertical="center"/>
    </xf>
    <xf numFmtId="4" fontId="70" fillId="0" borderId="0" xfId="43" applyNumberFormat="1" applyFont="1" applyAlignment="1">
      <alignment horizontal="center" vertical="center"/>
    </xf>
    <xf numFmtId="4" fontId="70" fillId="0" borderId="10" xfId="43" applyNumberFormat="1" applyFont="1" applyBorder="1" applyAlignment="1">
      <alignment horizontal="center" vertical="center"/>
    </xf>
    <xf numFmtId="4" fontId="70" fillId="0" borderId="67" xfId="43" applyNumberFormat="1" applyFont="1" applyBorder="1" applyAlignment="1">
      <alignment horizontal="center" vertical="center"/>
    </xf>
    <xf numFmtId="4" fontId="70" fillId="0" borderId="67" xfId="0" applyNumberFormat="1" applyFont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/>
    </xf>
    <xf numFmtId="4" fontId="70" fillId="0" borderId="75" xfId="0" applyNumberFormat="1" applyFont="1" applyBorder="1" applyAlignment="1">
      <alignment horizontal="center" vertical="center"/>
    </xf>
    <xf numFmtId="4" fontId="71" fillId="37" borderId="13" xfId="43" applyNumberFormat="1" applyFont="1" applyFill="1" applyBorder="1" applyAlignment="1">
      <alignment horizontal="center" vertical="center"/>
    </xf>
    <xf numFmtId="4" fontId="71" fillId="0" borderId="71" xfId="43" applyNumberFormat="1" applyFont="1" applyBorder="1" applyAlignment="1">
      <alignment horizontal="center" vertical="center"/>
    </xf>
    <xf numFmtId="4" fontId="70" fillId="37" borderId="71" xfId="43" applyNumberFormat="1" applyFont="1" applyFill="1" applyBorder="1" applyAlignment="1">
      <alignment horizontal="center" vertical="center"/>
    </xf>
    <xf numFmtId="4" fontId="70" fillId="0" borderId="35" xfId="43" applyNumberFormat="1" applyFont="1" applyBorder="1" applyAlignment="1">
      <alignment horizontal="center" vertical="center"/>
    </xf>
    <xf numFmtId="4" fontId="70" fillId="0" borderId="77" xfId="0" applyNumberFormat="1" applyFont="1" applyBorder="1" applyAlignment="1">
      <alignment horizontal="center" vertical="center"/>
    </xf>
    <xf numFmtId="4" fontId="71" fillId="0" borderId="31" xfId="0" applyNumberFormat="1" applyFont="1" applyBorder="1" applyAlignment="1">
      <alignment horizontal="center" vertical="top"/>
    </xf>
    <xf numFmtId="4" fontId="71" fillId="0" borderId="23" xfId="0" applyNumberFormat="1" applyFont="1" applyBorder="1" applyAlignment="1">
      <alignment horizontal="center" vertical="top"/>
    </xf>
    <xf numFmtId="4" fontId="71" fillId="0" borderId="0" xfId="0" applyNumberFormat="1" applyFont="1" applyAlignment="1">
      <alignment horizontal="center" vertical="top"/>
    </xf>
    <xf numFmtId="0" fontId="21" fillId="0" borderId="63" xfId="0" applyFont="1" applyBorder="1" applyAlignment="1">
      <alignment horizontal="left" vertical="center" wrapText="1"/>
    </xf>
    <xf numFmtId="4" fontId="71" fillId="0" borderId="35" xfId="43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186" fontId="41" fillId="0" borderId="0" xfId="65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0" fontId="41" fillId="0" borderId="0" xfId="65" applyFont="1" applyAlignment="1">
      <alignment horizontal="right" vertical="center"/>
    </xf>
    <xf numFmtId="186" fontId="41" fillId="0" borderId="0" xfId="65" applyNumberFormat="1" applyFont="1" applyAlignment="1">
      <alignment horizontal="right" vertical="center"/>
    </xf>
    <xf numFmtId="186" fontId="65" fillId="0" borderId="10" xfId="194" applyNumberFormat="1" applyFont="1" applyBorder="1" applyAlignment="1">
      <alignment horizontal="center" vertical="center"/>
    </xf>
    <xf numFmtId="0" fontId="65" fillId="0" borderId="63" xfId="194" applyFont="1" applyBorder="1" applyAlignment="1">
      <alignment horizontal="right" vertical="center"/>
    </xf>
    <xf numFmtId="2" fontId="65" fillId="0" borderId="78" xfId="194" applyNumberFormat="1" applyFont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3" fontId="71" fillId="0" borderId="67" xfId="43" applyFont="1" applyBorder="1" applyAlignment="1">
      <alignment vertical="center" wrapText="1"/>
    </xf>
    <xf numFmtId="43" fontId="71" fillId="0" borderId="72" xfId="43" applyFont="1" applyBorder="1" applyAlignment="1">
      <alignment vertical="center" wrapText="1"/>
    </xf>
    <xf numFmtId="0" fontId="70" fillId="0" borderId="72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 wrapText="1"/>
    </xf>
    <xf numFmtId="188" fontId="71" fillId="0" borderId="10" xfId="0" applyNumberFormat="1" applyFont="1" applyBorder="1" applyAlignment="1">
      <alignment horizontal="center" vertical="center"/>
    </xf>
    <xf numFmtId="188" fontId="71" fillId="0" borderId="10" xfId="0" applyNumberFormat="1" applyFont="1" applyBorder="1" applyAlignment="1">
      <alignment vertical="center"/>
    </xf>
    <xf numFmtId="2" fontId="71" fillId="0" borderId="10" xfId="0" applyNumberFormat="1" applyFont="1" applyBorder="1" applyAlignment="1">
      <alignment horizontal="right" vertical="center"/>
    </xf>
    <xf numFmtId="166" fontId="33" fillId="0" borderId="10" xfId="142" applyFont="1" applyBorder="1" applyAlignment="1">
      <alignment horizontal="center" vertical="center"/>
    </xf>
    <xf numFmtId="4" fontId="79" fillId="36" borderId="79" xfId="0" applyNumberFormat="1" applyFont="1" applyFill="1" applyBorder="1" applyAlignment="1">
      <alignment horizontal="center" vertical="center"/>
    </xf>
    <xf numFmtId="0" fontId="41" fillId="0" borderId="13" xfId="65" applyFont="1" applyBorder="1" applyAlignment="1">
      <alignment vertical="center" wrapText="1"/>
    </xf>
    <xf numFmtId="0" fontId="21" fillId="0" borderId="63" xfId="0" applyFont="1" applyBorder="1" applyAlignment="1">
      <alignment vertical="center" wrapText="1"/>
    </xf>
    <xf numFmtId="0" fontId="80" fillId="0" borderId="71" xfId="0" applyFont="1" applyBorder="1" applyAlignment="1">
      <alignment vertical="center" wrapText="1"/>
    </xf>
    <xf numFmtId="4" fontId="70" fillId="0" borderId="10" xfId="43" applyNumberFormat="1" applyFont="1" applyBorder="1" applyAlignment="1">
      <alignment horizontal="center" vertical="top"/>
    </xf>
    <xf numFmtId="4" fontId="70" fillId="0" borderId="10" xfId="43" applyNumberFormat="1" applyFont="1" applyBorder="1" applyAlignment="1">
      <alignment horizontal="right" vertical="top"/>
    </xf>
    <xf numFmtId="0" fontId="79" fillId="0" borderId="10" xfId="0" applyFont="1" applyBorder="1" applyAlignment="1">
      <alignment horizontal="center" vertical="center" wrapText="1"/>
    </xf>
    <xf numFmtId="4" fontId="71" fillId="0" borderId="10" xfId="43" applyNumberFormat="1" applyFont="1" applyBorder="1" applyAlignment="1">
      <alignment horizontal="right" vertical="top"/>
    </xf>
    <xf numFmtId="4" fontId="41" fillId="0" borderId="10" xfId="6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1" fontId="41" fillId="0" borderId="13" xfId="65" applyNumberFormat="1" applyFont="1" applyBorder="1" applyAlignment="1">
      <alignment horizontal="center" vertical="center"/>
    </xf>
    <xf numFmtId="0" fontId="37" fillId="0" borderId="46" xfId="151" applyFont="1" applyBorder="1" applyAlignment="1">
      <alignment horizontal="left" vertical="center"/>
    </xf>
    <xf numFmtId="2" fontId="37" fillId="0" borderId="46" xfId="151" applyNumberFormat="1" applyFont="1" applyBorder="1" applyAlignment="1">
      <alignment horizontal="center" vertical="center"/>
    </xf>
    <xf numFmtId="2" fontId="37" fillId="0" borderId="45" xfId="151" applyNumberFormat="1" applyFont="1" applyBorder="1" applyAlignment="1">
      <alignment horizontal="center" vertical="center"/>
    </xf>
    <xf numFmtId="4" fontId="37" fillId="0" borderId="18" xfId="151" applyNumberFormat="1" applyFont="1" applyBorder="1" applyAlignment="1">
      <alignment vertical="center"/>
    </xf>
    <xf numFmtId="193" fontId="41" fillId="0" borderId="10" xfId="65" applyNumberFormat="1" applyFont="1" applyBorder="1" applyAlignment="1">
      <alignment horizontal="center" vertical="center"/>
    </xf>
    <xf numFmtId="188" fontId="41" fillId="0" borderId="78" xfId="65" applyNumberFormat="1" applyFont="1" applyBorder="1" applyAlignment="1">
      <alignment horizontal="center" vertical="center"/>
    </xf>
    <xf numFmtId="0" fontId="65" fillId="0" borderId="13" xfId="194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65" fillId="0" borderId="63" xfId="194" applyFont="1" applyBorder="1" applyAlignment="1">
      <alignment horizontal="left" vertical="center"/>
    </xf>
    <xf numFmtId="0" fontId="65" fillId="0" borderId="13" xfId="194" applyFont="1" applyBorder="1" applyAlignment="1">
      <alignment horizontal="left" vertical="center" wrapText="1"/>
    </xf>
    <xf numFmtId="186" fontId="65" fillId="0" borderId="13" xfId="194" applyNumberFormat="1" applyFont="1" applyBorder="1" applyAlignment="1">
      <alignment horizontal="center" vertical="center"/>
    </xf>
    <xf numFmtId="0" fontId="64" fillId="0" borderId="71" xfId="194" applyFont="1" applyBorder="1" applyAlignment="1">
      <alignment vertical="top" wrapText="1"/>
    </xf>
    <xf numFmtId="0" fontId="40" fillId="0" borderId="0" xfId="65" applyFont="1" applyAlignment="1">
      <alignment horizontal="center" vertical="top" wrapText="1"/>
    </xf>
    <xf numFmtId="0" fontId="64" fillId="0" borderId="0" xfId="194" applyFont="1" applyAlignment="1">
      <alignment horizontal="center" vertical="top"/>
    </xf>
    <xf numFmtId="0" fontId="64" fillId="0" borderId="0" xfId="194" applyFont="1" applyAlignment="1">
      <alignment horizontal="center" vertical="top" wrapText="1"/>
    </xf>
    <xf numFmtId="0" fontId="71" fillId="0" borderId="61" xfId="0" applyFont="1" applyBorder="1" applyAlignment="1">
      <alignment horizontal="center" vertical="center"/>
    </xf>
    <xf numFmtId="0" fontId="80" fillId="0" borderId="0" xfId="0" applyFont="1" applyAlignment="1">
      <alignment vertical="top"/>
    </xf>
    <xf numFmtId="0" fontId="21" fillId="0" borderId="19" xfId="0" applyFont="1" applyBorder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75" xfId="0" applyFont="1" applyBorder="1"/>
    <xf numFmtId="188" fontId="80" fillId="0" borderId="0" xfId="0" applyNumberFormat="1" applyFont="1" applyAlignment="1">
      <alignment horizontal="left"/>
    </xf>
    <xf numFmtId="2" fontId="21" fillId="0" borderId="78" xfId="0" applyNumberFormat="1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/>
    </xf>
    <xf numFmtId="2" fontId="21" fillId="0" borderId="72" xfId="0" applyNumberFormat="1" applyFont="1" applyBorder="1" applyAlignment="1">
      <alignment horizontal="center"/>
    </xf>
    <xf numFmtId="0" fontId="65" fillId="0" borderId="0" xfId="194" applyFont="1" applyAlignment="1">
      <alignment horizontal="center" vertical="center"/>
    </xf>
    <xf numFmtId="43" fontId="33" fillId="0" borderId="10" xfId="43" applyFont="1" applyBorder="1" applyAlignment="1">
      <alignment vertical="center" wrapText="1"/>
    </xf>
    <xf numFmtId="2" fontId="71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center" vertical="top" wrapText="1"/>
    </xf>
    <xf numFmtId="43" fontId="20" fillId="36" borderId="11" xfId="43" applyFont="1" applyFill="1" applyBorder="1" applyAlignment="1">
      <alignment vertical="center"/>
    </xf>
    <xf numFmtId="4" fontId="20" fillId="36" borderId="11" xfId="0" applyNumberFormat="1" applyFont="1" applyFill="1" applyBorder="1" applyAlignment="1">
      <alignment horizontal="center" vertical="center"/>
    </xf>
    <xf numFmtId="10" fontId="2" fillId="36" borderId="11" xfId="147" applyNumberFormat="1" applyFont="1" applyFill="1" applyBorder="1" applyAlignment="1">
      <alignment horizontal="center" vertical="center"/>
    </xf>
    <xf numFmtId="0" fontId="64" fillId="0" borderId="71" xfId="0" applyFont="1" applyBorder="1" applyAlignment="1">
      <alignment horizontal="left" vertical="center" wrapText="1"/>
    </xf>
    <xf numFmtId="188" fontId="65" fillId="0" borderId="67" xfId="196" applyNumberFormat="1" applyFont="1" applyBorder="1" applyAlignment="1">
      <alignment horizontal="center" vertical="center"/>
    </xf>
    <xf numFmtId="188" fontId="64" fillId="0" borderId="67" xfId="196" applyNumberFormat="1" applyFont="1" applyBorder="1" applyAlignment="1">
      <alignment horizontal="center" vertical="center"/>
    </xf>
    <xf numFmtId="188" fontId="65" fillId="0" borderId="0" xfId="196" applyNumberFormat="1" applyFont="1" applyAlignment="1">
      <alignment horizontal="left" vertical="center"/>
    </xf>
    <xf numFmtId="188" fontId="64" fillId="0" borderId="0" xfId="196" applyNumberFormat="1" applyFont="1" applyAlignment="1">
      <alignment horizontal="left" vertical="center"/>
    </xf>
    <xf numFmtId="0" fontId="64" fillId="0" borderId="71" xfId="0" applyFont="1" applyBorder="1" applyAlignment="1">
      <alignment vertical="top" wrapText="1"/>
    </xf>
    <xf numFmtId="0" fontId="64" fillId="0" borderId="71" xfId="0" applyFont="1" applyBorder="1" applyAlignment="1">
      <alignment horizontal="center" vertical="top" wrapText="1"/>
    </xf>
    <xf numFmtId="191" fontId="21" fillId="0" borderId="10" xfId="0" applyNumberFormat="1" applyFont="1" applyBorder="1" applyAlignment="1">
      <alignment horizontal="center" vertical="center"/>
    </xf>
    <xf numFmtId="0" fontId="64" fillId="0" borderId="71" xfId="194" applyFont="1" applyBorder="1" applyAlignment="1">
      <alignment horizontal="center" vertical="top" wrapText="1"/>
    </xf>
    <xf numFmtId="0" fontId="64" fillId="0" borderId="0" xfId="194" applyFont="1" applyAlignment="1">
      <alignment horizontal="left" vertical="top"/>
    </xf>
    <xf numFmtId="2" fontId="41" fillId="0" borderId="0" xfId="65" applyNumberFormat="1" applyFont="1" applyAlignment="1">
      <alignment vertical="center"/>
    </xf>
    <xf numFmtId="49" fontId="33" fillId="0" borderId="10" xfId="43" applyNumberFormat="1" applyFont="1" applyBorder="1" applyAlignment="1">
      <alignment vertical="center" wrapText="1"/>
    </xf>
    <xf numFmtId="188" fontId="41" fillId="0" borderId="10" xfId="65" applyNumberFormat="1" applyFont="1" applyBorder="1" applyAlignment="1">
      <alignment horizontal="center" vertical="center" wrapText="1"/>
    </xf>
    <xf numFmtId="188" fontId="41" fillId="0" borderId="72" xfId="65" applyNumberFormat="1" applyFont="1" applyBorder="1" applyAlignment="1">
      <alignment horizontal="center" vertical="center" wrapText="1"/>
    </xf>
    <xf numFmtId="0" fontId="64" fillId="0" borderId="0" xfId="194" applyFont="1" applyAlignment="1">
      <alignment vertical="top" wrapText="1"/>
    </xf>
    <xf numFmtId="49" fontId="41" fillId="0" borderId="0" xfId="65" applyNumberFormat="1" applyFont="1" applyAlignment="1">
      <alignment vertical="center"/>
    </xf>
    <xf numFmtId="2" fontId="41" fillId="0" borderId="0" xfId="65" applyNumberFormat="1" applyFont="1" applyAlignment="1">
      <alignment horizontal="center" vertical="center"/>
    </xf>
    <xf numFmtId="188" fontId="37" fillId="0" borderId="45" xfId="151" applyNumberFormat="1" applyFont="1" applyBorder="1" applyAlignment="1">
      <alignment horizontal="center" vertical="center"/>
    </xf>
    <xf numFmtId="1" fontId="61" fillId="0" borderId="11" xfId="151" applyNumberFormat="1" applyFont="1" applyBorder="1" applyAlignment="1">
      <alignment horizontal="center" vertical="center"/>
    </xf>
    <xf numFmtId="10" fontId="61" fillId="0" borderId="11" xfId="151" applyNumberFormat="1" applyFont="1" applyBorder="1" applyAlignment="1">
      <alignment horizontal="right" vertical="center"/>
    </xf>
    <xf numFmtId="0" fontId="37" fillId="0" borderId="52" xfId="151" applyFont="1" applyBorder="1" applyAlignment="1">
      <alignment horizontal="center" vertical="center"/>
    </xf>
    <xf numFmtId="166" fontId="37" fillId="0" borderId="52" xfId="152" applyFont="1" applyBorder="1" applyAlignment="1">
      <alignment vertical="center"/>
    </xf>
    <xf numFmtId="1" fontId="37" fillId="0" borderId="52" xfId="151" applyNumberFormat="1" applyFont="1" applyBorder="1" applyAlignment="1">
      <alignment horizontal="center" vertical="center"/>
    </xf>
    <xf numFmtId="37" fontId="37" fillId="0" borderId="52" xfId="151" applyNumberFormat="1" applyFont="1" applyBorder="1" applyAlignment="1">
      <alignment horizontal="center" vertical="center"/>
    </xf>
    <xf numFmtId="39" fontId="37" fillId="0" borderId="52" xfId="151" applyNumberFormat="1" applyFont="1" applyBorder="1" applyAlignment="1">
      <alignment horizontal="center" vertical="center"/>
    </xf>
    <xf numFmtId="0" fontId="70" fillId="36" borderId="25" xfId="0" applyFont="1" applyFill="1" applyBorder="1" applyAlignment="1">
      <alignment horizontal="center" vertical="center"/>
    </xf>
    <xf numFmtId="0" fontId="70" fillId="36" borderId="18" xfId="0" applyFont="1" applyFill="1" applyBorder="1" applyAlignment="1">
      <alignment horizontal="center" vertical="center"/>
    </xf>
    <xf numFmtId="49" fontId="70" fillId="36" borderId="17" xfId="43" applyNumberFormat="1" applyFont="1" applyFill="1" applyBorder="1" applyAlignment="1">
      <alignment vertical="center" wrapText="1"/>
    </xf>
    <xf numFmtId="4" fontId="70" fillId="36" borderId="18" xfId="43" applyNumberFormat="1" applyFont="1" applyFill="1" applyBorder="1" applyAlignment="1">
      <alignment horizontal="center" vertical="center"/>
    </xf>
    <xf numFmtId="4" fontId="70" fillId="36" borderId="18" xfId="43" applyNumberFormat="1" applyFont="1" applyFill="1" applyBorder="1" applyAlignment="1">
      <alignment horizontal="right" vertical="center"/>
    </xf>
    <xf numFmtId="43" fontId="70" fillId="36" borderId="18" xfId="43" applyFont="1" applyFill="1" applyBorder="1" applyAlignment="1">
      <alignment horizontal="right" vertical="center"/>
    </xf>
    <xf numFmtId="43" fontId="71" fillId="0" borderId="12" xfId="43" applyFont="1" applyBorder="1" applyAlignment="1">
      <alignment horizontal="right" vertical="center"/>
    </xf>
    <xf numFmtId="0" fontId="71" fillId="0" borderId="63" xfId="0" applyFont="1" applyBorder="1" applyAlignment="1">
      <alignment horizontal="center" vertical="center"/>
    </xf>
    <xf numFmtId="49" fontId="42" fillId="0" borderId="42" xfId="151" applyNumberFormat="1" applyFont="1" applyBorder="1" applyAlignment="1">
      <alignment horizontal="center" vertical="center"/>
    </xf>
    <xf numFmtId="49" fontId="62" fillId="0" borderId="15" xfId="151" applyNumberFormat="1" applyFont="1" applyBorder="1" applyAlignment="1">
      <alignment horizontal="center" vertical="center"/>
    </xf>
    <xf numFmtId="166" fontId="42" fillId="0" borderId="15" xfId="152" applyFont="1" applyBorder="1" applyAlignment="1">
      <alignment horizontal="left" vertical="center"/>
    </xf>
    <xf numFmtId="174" fontId="57" fillId="0" borderId="15" xfId="151" applyNumberFormat="1" applyFont="1" applyBorder="1" applyAlignment="1">
      <alignment horizontal="right" vertical="center"/>
    </xf>
    <xf numFmtId="4" fontId="57" fillId="0" borderId="15" xfId="151" applyNumberFormat="1" applyFont="1" applyBorder="1" applyAlignment="1">
      <alignment vertical="center"/>
    </xf>
    <xf numFmtId="4" fontId="57" fillId="0" borderId="48" xfId="151" applyNumberFormat="1" applyFont="1" applyBorder="1" applyAlignment="1">
      <alignment vertical="center"/>
    </xf>
    <xf numFmtId="49" fontId="37" fillId="0" borderId="53" xfId="151" applyNumberFormat="1" applyFont="1" applyBorder="1" applyAlignment="1">
      <alignment horizontal="center" vertical="center"/>
    </xf>
    <xf numFmtId="166" fontId="38" fillId="0" borderId="53" xfId="152" applyFont="1" applyBorder="1" applyAlignment="1">
      <alignment horizontal="left" vertical="center"/>
    </xf>
    <xf numFmtId="174" fontId="37" fillId="0" borderId="53" xfId="151" applyNumberFormat="1" applyFont="1" applyBorder="1" applyAlignment="1">
      <alignment horizontal="right" vertical="center"/>
    </xf>
    <xf numFmtId="174" fontId="37" fillId="0" borderId="53" xfId="151" applyNumberFormat="1" applyFont="1" applyBorder="1" applyAlignment="1">
      <alignment horizontal="center" vertical="center"/>
    </xf>
    <xf numFmtId="4" fontId="37" fillId="0" borderId="53" xfId="151" applyNumberFormat="1" applyFont="1" applyBorder="1" applyAlignment="1">
      <alignment vertical="center"/>
    </xf>
    <xf numFmtId="166" fontId="37" fillId="0" borderId="14" xfId="152" applyFont="1" applyBorder="1" applyAlignment="1">
      <alignment vertical="center"/>
    </xf>
    <xf numFmtId="1" fontId="37" fillId="0" borderId="10" xfId="151" applyNumberFormat="1" applyFont="1" applyBorder="1" applyAlignment="1">
      <alignment horizontal="center" vertical="center"/>
    </xf>
    <xf numFmtId="0" fontId="37" fillId="0" borderId="10" xfId="151" applyFont="1" applyBorder="1" applyAlignment="1">
      <alignment horizontal="center" vertical="center"/>
    </xf>
    <xf numFmtId="4" fontId="37" fillId="0" borderId="10" xfId="151" applyNumberFormat="1" applyFont="1" applyBorder="1" applyAlignment="1">
      <alignment vertical="center"/>
    </xf>
    <xf numFmtId="39" fontId="37" fillId="0" borderId="10" xfId="151" applyNumberFormat="1" applyFont="1" applyBorder="1" applyAlignment="1">
      <alignment horizontal="center" vertical="center"/>
    </xf>
    <xf numFmtId="4" fontId="37" fillId="0" borderId="58" xfId="151" applyNumberFormat="1" applyFont="1" applyBorder="1" applyAlignment="1">
      <alignment horizontal="center" vertical="center"/>
    </xf>
    <xf numFmtId="0" fontId="37" fillId="0" borderId="79" xfId="151" applyFont="1" applyBorder="1" applyAlignment="1">
      <alignment horizontal="center" vertical="center"/>
    </xf>
    <xf numFmtId="4" fontId="37" fillId="0" borderId="79" xfId="151" applyNumberFormat="1" applyFont="1" applyBorder="1" applyAlignment="1">
      <alignment vertical="center"/>
    </xf>
    <xf numFmtId="39" fontId="37" fillId="0" borderId="79" xfId="151" applyNumberFormat="1" applyFont="1" applyBorder="1" applyAlignment="1">
      <alignment horizontal="center" vertical="center"/>
    </xf>
    <xf numFmtId="4" fontId="37" fillId="0" borderId="85" xfId="151" applyNumberFormat="1" applyFont="1" applyBorder="1" applyAlignment="1">
      <alignment horizontal="center" vertical="center"/>
    </xf>
    <xf numFmtId="0" fontId="37" fillId="0" borderId="58" xfId="151" applyFont="1" applyBorder="1" applyAlignment="1">
      <alignment horizontal="center" vertical="center" wrapText="1"/>
    </xf>
    <xf numFmtId="49" fontId="37" fillId="0" borderId="84" xfId="151" applyNumberFormat="1" applyFont="1" applyBorder="1" applyAlignment="1">
      <alignment vertical="center"/>
    </xf>
    <xf numFmtId="49" fontId="37" fillId="0" borderId="58" xfId="151" applyNumberFormat="1" applyFont="1" applyBorder="1" applyAlignment="1">
      <alignment horizontal="center" vertical="center"/>
    </xf>
    <xf numFmtId="166" fontId="37" fillId="0" borderId="84" xfId="152" applyFont="1" applyBorder="1" applyAlignment="1">
      <alignment vertical="center"/>
    </xf>
    <xf numFmtId="0" fontId="37" fillId="0" borderId="85" xfId="151" applyFont="1" applyBorder="1" applyAlignment="1">
      <alignment horizontal="center" vertical="center" wrapText="1"/>
    </xf>
    <xf numFmtId="4" fontId="71" fillId="41" borderId="10" xfId="43" applyNumberFormat="1" applyFont="1" applyFill="1" applyBorder="1" applyAlignment="1">
      <alignment horizontal="center" vertical="center"/>
    </xf>
    <xf numFmtId="49" fontId="37" fillId="0" borderId="86" xfId="151" applyNumberFormat="1" applyFont="1" applyBorder="1" applyAlignment="1">
      <alignment vertical="center"/>
    </xf>
    <xf numFmtId="49" fontId="37" fillId="0" borderId="72" xfId="151" applyNumberFormat="1" applyFont="1" applyBorder="1" applyAlignment="1">
      <alignment vertical="center"/>
    </xf>
    <xf numFmtId="49" fontId="37" fillId="0" borderId="51" xfId="151" applyNumberFormat="1" applyFont="1" applyBorder="1" applyAlignment="1">
      <alignment vertical="center"/>
    </xf>
    <xf numFmtId="49" fontId="37" fillId="0" borderId="67" xfId="151" applyNumberFormat="1" applyFont="1" applyBorder="1" applyAlignment="1">
      <alignment vertical="center"/>
    </xf>
    <xf numFmtId="0" fontId="37" fillId="0" borderId="51" xfId="151" applyFont="1" applyBorder="1" applyAlignment="1">
      <alignment vertical="center"/>
    </xf>
    <xf numFmtId="0" fontId="37" fillId="0" borderId="67" xfId="151" applyFont="1" applyBorder="1" applyAlignment="1">
      <alignment vertical="center"/>
    </xf>
    <xf numFmtId="174" fontId="37" fillId="0" borderId="51" xfId="151" applyNumberFormat="1" applyFont="1" applyBorder="1" applyAlignment="1">
      <alignment vertical="center"/>
    </xf>
    <xf numFmtId="4" fontId="37" fillId="0" borderId="51" xfId="151" applyNumberFormat="1" applyFont="1" applyBorder="1" applyAlignment="1">
      <alignment vertical="center"/>
    </xf>
    <xf numFmtId="174" fontId="37" fillId="0" borderId="67" xfId="151" applyNumberFormat="1" applyFont="1" applyBorder="1" applyAlignment="1">
      <alignment vertical="center"/>
    </xf>
    <xf numFmtId="4" fontId="37" fillId="0" borderId="67" xfId="151" applyNumberFormat="1" applyFont="1" applyBorder="1" applyAlignment="1">
      <alignment vertical="center"/>
    </xf>
    <xf numFmtId="4" fontId="38" fillId="0" borderId="0" xfId="151" applyNumberFormat="1" applyFont="1" applyAlignment="1">
      <alignment vertical="center"/>
    </xf>
    <xf numFmtId="0" fontId="33" fillId="0" borderId="10" xfId="65" applyFont="1" applyBorder="1" applyAlignment="1">
      <alignment horizontal="left" vertical="center" wrapText="1"/>
    </xf>
    <xf numFmtId="4" fontId="84" fillId="0" borderId="75" xfId="0" applyNumberFormat="1" applyFont="1" applyBorder="1" applyAlignment="1">
      <alignment horizontal="right" vertical="center"/>
    </xf>
    <xf numFmtId="4" fontId="71" fillId="0" borderId="67" xfId="0" applyNumberFormat="1" applyFont="1" applyBorder="1" applyAlignment="1">
      <alignment horizontal="center" vertical="center"/>
    </xf>
    <xf numFmtId="43" fontId="70" fillId="0" borderId="67" xfId="43" applyFont="1" applyBorder="1" applyAlignment="1">
      <alignment horizontal="right" vertical="center" wrapText="1"/>
    </xf>
    <xf numFmtId="0" fontId="71" fillId="0" borderId="67" xfId="0" applyFont="1" applyBorder="1" applyAlignment="1">
      <alignment horizontal="center" vertical="center" wrapText="1"/>
    </xf>
    <xf numFmtId="0" fontId="71" fillId="0" borderId="67" xfId="0" applyFont="1" applyBorder="1" applyAlignment="1">
      <alignment vertical="center"/>
    </xf>
    <xf numFmtId="2" fontId="71" fillId="0" borderId="67" xfId="0" applyNumberFormat="1" applyFont="1" applyBorder="1" applyAlignment="1">
      <alignment horizontal="right" vertical="center"/>
    </xf>
    <xf numFmtId="2" fontId="71" fillId="0" borderId="71" xfId="0" applyNumberFormat="1" applyFont="1" applyBorder="1" applyAlignment="1">
      <alignment horizontal="center" vertical="center"/>
    </xf>
    <xf numFmtId="0" fontId="71" fillId="0" borderId="71" xfId="0" applyFont="1" applyBorder="1" applyAlignment="1">
      <alignment vertical="center"/>
    </xf>
    <xf numFmtId="188" fontId="71" fillId="0" borderId="71" xfId="0" applyNumberFormat="1" applyFont="1" applyBorder="1" applyAlignment="1">
      <alignment horizontal="right" vertical="center"/>
    </xf>
    <xf numFmtId="0" fontId="70" fillId="0" borderId="67" xfId="0" applyFont="1" applyBorder="1" applyAlignment="1">
      <alignment horizontal="right" vertical="center" wrapText="1"/>
    </xf>
    <xf numFmtId="43" fontId="70" fillId="0" borderId="71" xfId="43" applyFont="1" applyBorder="1" applyAlignment="1">
      <alignment horizontal="right" vertical="center" wrapText="1"/>
    </xf>
    <xf numFmtId="0" fontId="79" fillId="0" borderId="67" xfId="0" applyFont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4" fontId="71" fillId="0" borderId="13" xfId="0" applyNumberFormat="1" applyFont="1" applyBorder="1" applyAlignment="1">
      <alignment horizontal="right" vertical="center"/>
    </xf>
    <xf numFmtId="164" fontId="41" fillId="0" borderId="0" xfId="65" applyNumberFormat="1" applyFont="1" applyAlignment="1">
      <alignment vertical="center"/>
    </xf>
    <xf numFmtId="165" fontId="41" fillId="0" borderId="0" xfId="65" applyNumberFormat="1" applyFont="1" applyAlignment="1">
      <alignment vertical="center"/>
    </xf>
    <xf numFmtId="186" fontId="41" fillId="0" borderId="71" xfId="65" applyNumberFormat="1" applyFont="1" applyBorder="1" applyAlignment="1">
      <alignment horizontal="right" vertical="center"/>
    </xf>
    <xf numFmtId="186" fontId="41" fillId="0" borderId="19" xfId="65" applyNumberFormat="1" applyFont="1" applyBorder="1" applyAlignment="1">
      <alignment horizontal="right" vertical="center"/>
    </xf>
    <xf numFmtId="186" fontId="41" fillId="0" borderId="0" xfId="65" applyNumberFormat="1" applyFont="1" applyAlignment="1">
      <alignment horizontal="left" vertical="center"/>
    </xf>
    <xf numFmtId="4" fontId="70" fillId="0" borderId="87" xfId="0" applyNumberFormat="1" applyFont="1" applyBorder="1" applyAlignment="1">
      <alignment vertical="center" wrapText="1"/>
    </xf>
    <xf numFmtId="4" fontId="70" fillId="0" borderId="32" xfId="0" applyNumberFormat="1" applyFont="1" applyBorder="1" applyAlignment="1">
      <alignment horizontal="centerContinuous" vertical="center"/>
    </xf>
    <xf numFmtId="43" fontId="71" fillId="0" borderId="19" xfId="43" applyFont="1" applyBorder="1" applyAlignment="1">
      <alignment vertical="center" wrapText="1"/>
    </xf>
    <xf numFmtId="0" fontId="64" fillId="0" borderId="0" xfId="73" applyFont="1" applyAlignment="1">
      <alignment vertical="center"/>
    </xf>
    <xf numFmtId="0" fontId="37" fillId="0" borderId="0" xfId="151" applyFont="1" applyAlignment="1">
      <alignment horizontal="right" vertical="center"/>
    </xf>
    <xf numFmtId="49" fontId="37" fillId="0" borderId="78" xfId="151" applyNumberFormat="1" applyFont="1" applyBorder="1" applyAlignment="1">
      <alignment vertical="center"/>
    </xf>
    <xf numFmtId="49" fontId="37" fillId="0" borderId="71" xfId="151" applyNumberFormat="1" applyFont="1" applyBorder="1" applyAlignment="1">
      <alignment vertical="center"/>
    </xf>
    <xf numFmtId="0" fontId="37" fillId="0" borderId="71" xfId="151" applyFont="1" applyBorder="1" applyAlignment="1">
      <alignment vertical="center"/>
    </xf>
    <xf numFmtId="174" fontId="37" fillId="0" borderId="71" xfId="151" applyNumberFormat="1" applyFont="1" applyBorder="1" applyAlignment="1">
      <alignment vertical="center"/>
    </xf>
    <xf numFmtId="4" fontId="37" fillId="0" borderId="71" xfId="151" applyNumberFormat="1" applyFont="1" applyBorder="1" applyAlignment="1">
      <alignment vertical="center"/>
    </xf>
    <xf numFmtId="49" fontId="37" fillId="0" borderId="14" xfId="151" applyNumberFormat="1" applyFont="1" applyBorder="1" applyAlignment="1">
      <alignment horizontal="center" vertical="center"/>
    </xf>
    <xf numFmtId="49" fontId="37" fillId="0" borderId="88" xfId="151" applyNumberFormat="1" applyFont="1" applyBorder="1" applyAlignment="1">
      <alignment horizontal="center" vertical="center"/>
    </xf>
    <xf numFmtId="166" fontId="38" fillId="0" borderId="88" xfId="152" applyFont="1" applyBorder="1" applyAlignment="1">
      <alignment horizontal="left" vertical="center"/>
    </xf>
    <xf numFmtId="174" fontId="37" fillId="0" borderId="88" xfId="151" applyNumberFormat="1" applyFont="1" applyBorder="1" applyAlignment="1">
      <alignment horizontal="right" vertical="center"/>
    </xf>
    <xf numFmtId="174" fontId="37" fillId="0" borderId="88" xfId="151" applyNumberFormat="1" applyFont="1" applyBorder="1" applyAlignment="1">
      <alignment horizontal="center" vertical="center"/>
    </xf>
    <xf numFmtId="3" fontId="37" fillId="0" borderId="88" xfId="151" applyNumberFormat="1" applyFont="1" applyBorder="1" applyAlignment="1">
      <alignment horizontal="center" vertical="center"/>
    </xf>
    <xf numFmtId="3" fontId="37" fillId="0" borderId="88" xfId="151" applyNumberFormat="1" applyFont="1" applyBorder="1" applyAlignment="1">
      <alignment vertical="center"/>
    </xf>
    <xf numFmtId="4" fontId="37" fillId="0" borderId="88" xfId="151" applyNumberFormat="1" applyFont="1" applyBorder="1" applyAlignment="1">
      <alignment vertical="center"/>
    </xf>
    <xf numFmtId="49" fontId="42" fillId="0" borderId="36" xfId="151" applyNumberFormat="1" applyFont="1" applyBorder="1" applyAlignment="1">
      <alignment horizontal="center" vertical="center"/>
    </xf>
    <xf numFmtId="49" fontId="62" fillId="0" borderId="18" xfId="151" applyNumberFormat="1" applyFont="1" applyBorder="1" applyAlignment="1">
      <alignment horizontal="center" vertical="center"/>
    </xf>
    <xf numFmtId="166" fontId="42" fillId="0" borderId="18" xfId="152" applyFont="1" applyBorder="1" applyAlignment="1">
      <alignment horizontal="left" vertical="center"/>
    </xf>
    <xf numFmtId="174" fontId="57" fillId="0" borderId="18" xfId="151" applyNumberFormat="1" applyFont="1" applyBorder="1" applyAlignment="1">
      <alignment horizontal="right" vertical="center"/>
    </xf>
    <xf numFmtId="4" fontId="57" fillId="0" borderId="18" xfId="151" applyNumberFormat="1" applyFont="1" applyBorder="1" applyAlignment="1">
      <alignment horizontal="right" vertical="center"/>
    </xf>
    <xf numFmtId="4" fontId="57" fillId="0" borderId="18" xfId="151" applyNumberFormat="1" applyFont="1" applyBorder="1" applyAlignment="1">
      <alignment vertical="center"/>
    </xf>
    <xf numFmtId="4" fontId="43" fillId="0" borderId="37" xfId="151" applyNumberFormat="1" applyFont="1" applyBorder="1" applyAlignment="1">
      <alignment vertical="center"/>
    </xf>
    <xf numFmtId="166" fontId="37" fillId="0" borderId="11" xfId="152" applyFont="1" applyBorder="1" applyAlignment="1">
      <alignment horizontal="right" vertical="center"/>
    </xf>
    <xf numFmtId="166" fontId="37" fillId="0" borderId="11" xfId="152" applyFont="1" applyBorder="1" applyAlignment="1">
      <alignment vertical="center"/>
    </xf>
    <xf numFmtId="10" fontId="86" fillId="0" borderId="11" xfId="151" applyNumberFormat="1" applyFont="1" applyBorder="1" applyAlignment="1">
      <alignment horizontal="right" vertical="center"/>
    </xf>
    <xf numFmtId="49" fontId="37" fillId="0" borderId="11" xfId="151" applyNumberFormat="1" applyFont="1" applyBorder="1" applyAlignment="1">
      <alignment vertical="center"/>
    </xf>
    <xf numFmtId="0" fontId="71" fillId="37" borderId="67" xfId="0" applyFont="1" applyFill="1" applyBorder="1" applyAlignment="1">
      <alignment horizontal="center" vertical="center" wrapText="1"/>
    </xf>
    <xf numFmtId="0" fontId="71" fillId="37" borderId="67" xfId="0" applyFont="1" applyFill="1" applyBorder="1" applyAlignment="1">
      <alignment horizontal="center" vertical="center"/>
    </xf>
    <xf numFmtId="4" fontId="71" fillId="37" borderId="67" xfId="43" applyNumberFormat="1" applyFont="1" applyFill="1" applyBorder="1" applyAlignment="1">
      <alignment horizontal="right" vertical="center"/>
    </xf>
    <xf numFmtId="0" fontId="71" fillId="0" borderId="74" xfId="0" applyFont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4" fontId="71" fillId="0" borderId="75" xfId="0" applyNumberFormat="1" applyFont="1" applyBorder="1" applyAlignment="1">
      <alignment horizontal="center" vertical="center"/>
    </xf>
    <xf numFmtId="2" fontId="71" fillId="0" borderId="75" xfId="0" applyNumberFormat="1" applyFont="1" applyBorder="1" applyAlignment="1">
      <alignment horizontal="right" vertical="center"/>
    </xf>
    <xf numFmtId="0" fontId="71" fillId="0" borderId="71" xfId="0" applyFont="1" applyBorder="1" applyAlignment="1">
      <alignment horizontal="center" vertical="center" wrapText="1"/>
    </xf>
    <xf numFmtId="0" fontId="33" fillId="37" borderId="67" xfId="65" applyFont="1" applyFill="1" applyBorder="1" applyAlignment="1">
      <alignment horizontal="center" vertical="center" wrapText="1"/>
    </xf>
    <xf numFmtId="0" fontId="33" fillId="37" borderId="67" xfId="65" applyFont="1" applyFill="1" applyBorder="1" applyAlignment="1">
      <alignment horizontal="center" vertical="center"/>
    </xf>
    <xf numFmtId="166" fontId="33" fillId="0" borderId="67" xfId="142" applyFont="1" applyBorder="1" applyAlignment="1">
      <alignment horizontal="center" vertical="center"/>
    </xf>
    <xf numFmtId="166" fontId="33" fillId="0" borderId="67" xfId="142" applyFont="1" applyBorder="1" applyAlignment="1">
      <alignment horizontal="right" vertical="center"/>
    </xf>
    <xf numFmtId="43" fontId="71" fillId="37" borderId="67" xfId="43" applyFont="1" applyFill="1" applyBorder="1" applyAlignment="1">
      <alignment horizontal="right" vertical="center"/>
    </xf>
    <xf numFmtId="4" fontId="71" fillId="0" borderId="75" xfId="43" applyNumberFormat="1" applyFont="1" applyBorder="1" applyAlignment="1">
      <alignment horizontal="center" vertical="center"/>
    </xf>
    <xf numFmtId="4" fontId="71" fillId="0" borderId="75" xfId="43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 wrapText="1"/>
    </xf>
    <xf numFmtId="43" fontId="71" fillId="0" borderId="33" xfId="43" applyFont="1" applyBorder="1" applyAlignment="1">
      <alignment vertical="top"/>
    </xf>
    <xf numFmtId="43" fontId="71" fillId="0" borderId="15" xfId="43" applyFont="1" applyBorder="1" applyAlignment="1">
      <alignment vertical="top"/>
    </xf>
    <xf numFmtId="43" fontId="79" fillId="0" borderId="15" xfId="43" applyFont="1" applyBorder="1" applyAlignment="1">
      <alignment horizontal="left" vertical="top"/>
    </xf>
    <xf numFmtId="4" fontId="41" fillId="0" borderId="0" xfId="65" applyNumberFormat="1" applyFont="1" applyAlignment="1">
      <alignment horizontal="left" vertical="center"/>
    </xf>
    <xf numFmtId="3" fontId="71" fillId="0" borderId="10" xfId="0" applyNumberFormat="1" applyFont="1" applyBorder="1" applyAlignment="1">
      <alignment horizontal="center" vertical="center" wrapText="1"/>
    </xf>
    <xf numFmtId="43" fontId="79" fillId="0" borderId="15" xfId="43" applyFont="1" applyBorder="1" applyAlignment="1">
      <alignment vertical="top"/>
    </xf>
    <xf numFmtId="0" fontId="41" fillId="0" borderId="0" xfId="65" applyFont="1" applyAlignment="1">
      <alignment horizontal="center"/>
    </xf>
    <xf numFmtId="4" fontId="70" fillId="0" borderId="0" xfId="0" applyNumberFormat="1" applyFont="1" applyAlignment="1">
      <alignment vertical="center"/>
    </xf>
    <xf numFmtId="14" fontId="71" fillId="0" borderId="15" xfId="43" applyNumberFormat="1" applyFont="1" applyBorder="1" applyAlignment="1">
      <alignment horizontal="center" vertical="top"/>
    </xf>
    <xf numFmtId="10" fontId="71" fillId="0" borderId="0" xfId="0" applyNumberFormat="1" applyFont="1" applyAlignment="1">
      <alignment vertical="center"/>
    </xf>
    <xf numFmtId="0" fontId="41" fillId="0" borderId="62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 wrapText="1"/>
    </xf>
    <xf numFmtId="0" fontId="41" fillId="0" borderId="62" xfId="65" applyFont="1" applyBorder="1" applyAlignment="1">
      <alignment horizontal="left" vertical="center"/>
    </xf>
    <xf numFmtId="0" fontId="41" fillId="0" borderId="10" xfId="65" applyFont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/>
    </xf>
    <xf numFmtId="0" fontId="21" fillId="0" borderId="63" xfId="0" applyFont="1" applyBorder="1" applyAlignment="1">
      <alignment horizontal="left" vertical="center" wrapText="1"/>
    </xf>
    <xf numFmtId="0" fontId="65" fillId="0" borderId="13" xfId="194" applyFont="1" applyBorder="1" applyAlignment="1">
      <alignment horizontal="center" vertical="center"/>
    </xf>
    <xf numFmtId="0" fontId="64" fillId="0" borderId="0" xfId="194" applyFont="1"/>
    <xf numFmtId="0" fontId="65" fillId="0" borderId="0" xfId="194" applyFont="1"/>
    <xf numFmtId="0" fontId="64" fillId="0" borderId="0" xfId="194" applyFont="1" applyAlignment="1">
      <alignment vertical="center"/>
    </xf>
    <xf numFmtId="0" fontId="65" fillId="0" borderId="10" xfId="194" applyFont="1" applyBorder="1" applyAlignment="1">
      <alignment horizontal="center" vertical="center"/>
    </xf>
    <xf numFmtId="193" fontId="65" fillId="0" borderId="13" xfId="194" applyNumberFormat="1" applyFont="1" applyBorder="1" applyAlignment="1">
      <alignment horizontal="center" vertical="center"/>
    </xf>
    <xf numFmtId="186" fontId="41" fillId="0" borderId="10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21" fillId="0" borderId="0" xfId="0" applyFont="1"/>
    <xf numFmtId="0" fontId="41" fillId="0" borderId="63" xfId="65" applyFont="1" applyBorder="1" applyAlignment="1">
      <alignment horizontal="left" vertical="center" wrapText="1"/>
    </xf>
    <xf numFmtId="193" fontId="41" fillId="0" borderId="13" xfId="65" applyNumberFormat="1" applyFont="1" applyBorder="1" applyAlignment="1">
      <alignment horizontal="center" vertical="center" wrapText="1"/>
    </xf>
    <xf numFmtId="4" fontId="41" fillId="0" borderId="12" xfId="65" applyNumberFormat="1" applyFont="1" applyBorder="1" applyAlignment="1">
      <alignment horizontal="center" vertical="center"/>
    </xf>
    <xf numFmtId="4" fontId="41" fillId="0" borderId="13" xfId="65" applyNumberFormat="1" applyFont="1" applyBorder="1" applyAlignment="1">
      <alignment horizontal="center" vertical="center"/>
    </xf>
    <xf numFmtId="186" fontId="41" fillId="0" borderId="12" xfId="65" applyNumberFormat="1" applyFont="1" applyBorder="1" applyAlignment="1">
      <alignment horizontal="center" vertical="center" wrapText="1"/>
    </xf>
    <xf numFmtId="186" fontId="41" fillId="0" borderId="13" xfId="65" applyNumberFormat="1" applyFont="1" applyBorder="1" applyAlignment="1">
      <alignment horizontal="center" vertical="center" wrapText="1"/>
    </xf>
    <xf numFmtId="0" fontId="40" fillId="0" borderId="0" xfId="65" applyFont="1" applyAlignment="1">
      <alignment horizontal="left" vertical="center" wrapText="1"/>
    </xf>
    <xf numFmtId="186" fontId="41" fillId="0" borderId="12" xfId="65" applyNumberFormat="1" applyFont="1" applyBorder="1" applyAlignment="1">
      <alignment horizontal="center" vertical="center"/>
    </xf>
    <xf numFmtId="0" fontId="41" fillId="0" borderId="62" xfId="65" applyFont="1" applyBorder="1" applyAlignment="1">
      <alignment horizontal="left" vertical="center"/>
    </xf>
    <xf numFmtId="0" fontId="41" fillId="0" borderId="12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2" xfId="65" applyFont="1" applyBorder="1" applyAlignment="1">
      <alignment horizontal="center" vertical="center"/>
    </xf>
    <xf numFmtId="2" fontId="41" fillId="0" borderId="12" xfId="65" applyNumberFormat="1" applyFont="1" applyBorder="1" applyAlignment="1">
      <alignment horizontal="center" vertical="center"/>
    </xf>
    <xf numFmtId="0" fontId="64" fillId="0" borderId="0" xfId="0" applyFont="1"/>
    <xf numFmtId="0" fontId="21" fillId="0" borderId="0" xfId="0" applyFont="1"/>
    <xf numFmtId="4" fontId="41" fillId="0" borderId="12" xfId="65" applyNumberFormat="1" applyFont="1" applyBorder="1" applyAlignment="1">
      <alignment horizontal="center" vertical="center"/>
    </xf>
    <xf numFmtId="2" fontId="21" fillId="45" borderId="10" xfId="0" applyNumberFormat="1" applyFont="1" applyFill="1" applyBorder="1" applyAlignment="1">
      <alignment horizontal="center" vertical="center"/>
    </xf>
    <xf numFmtId="0" fontId="40" fillId="45" borderId="72" xfId="65" applyFont="1" applyFill="1" applyBorder="1" applyAlignment="1">
      <alignment horizontal="center" vertical="center"/>
    </xf>
    <xf numFmtId="2" fontId="21" fillId="45" borderId="13" xfId="0" applyNumberFormat="1" applyFont="1" applyFill="1" applyBorder="1" applyAlignment="1">
      <alignment horizontal="center" vertical="center"/>
    </xf>
    <xf numFmtId="2" fontId="80" fillId="45" borderId="67" xfId="0" applyNumberFormat="1" applyFont="1" applyFill="1" applyBorder="1" applyAlignment="1">
      <alignment horizontal="center" vertical="center"/>
    </xf>
    <xf numFmtId="188" fontId="65" fillId="45" borderId="10" xfId="194" applyNumberFormat="1" applyFont="1" applyFill="1" applyBorder="1" applyAlignment="1">
      <alignment horizontal="center" vertical="center"/>
    </xf>
    <xf numFmtId="186" fontId="41" fillId="45" borderId="10" xfId="65" applyNumberFormat="1" applyFont="1" applyFill="1" applyBorder="1" applyAlignment="1">
      <alignment horizontal="center" vertical="center"/>
    </xf>
    <xf numFmtId="192" fontId="41" fillId="45" borderId="10" xfId="65" applyNumberFormat="1" applyFont="1" applyFill="1" applyBorder="1" applyAlignment="1">
      <alignment horizontal="center" vertical="center"/>
    </xf>
    <xf numFmtId="0" fontId="41" fillId="45" borderId="10" xfId="65" applyFont="1" applyFill="1" applyBorder="1" applyAlignment="1">
      <alignment horizontal="left" vertical="center" wrapText="1"/>
    </xf>
    <xf numFmtId="0" fontId="41" fillId="45" borderId="19" xfId="65" applyFont="1" applyFill="1" applyBorder="1" applyAlignment="1">
      <alignment horizontal="left" vertical="center"/>
    </xf>
    <xf numFmtId="0" fontId="40" fillId="45" borderId="0" xfId="65" applyFont="1" applyFill="1" applyAlignment="1">
      <alignment horizontal="left" vertical="center"/>
    </xf>
    <xf numFmtId="2" fontId="40" fillId="45" borderId="72" xfId="65" applyNumberFormat="1" applyFont="1" applyFill="1" applyBorder="1" applyAlignment="1">
      <alignment horizontal="center" vertical="center"/>
    </xf>
    <xf numFmtId="191" fontId="41" fillId="45" borderId="10" xfId="65" applyNumberFormat="1" applyFont="1" applyFill="1" applyBorder="1" applyAlignment="1">
      <alignment horizontal="center" vertical="center"/>
    </xf>
    <xf numFmtId="0" fontId="41" fillId="0" borderId="72" xfId="65" applyFont="1" applyFill="1" applyBorder="1" applyAlignment="1">
      <alignment horizontal="center" vertical="center"/>
    </xf>
    <xf numFmtId="188" fontId="41" fillId="45" borderId="10" xfId="65" applyNumberFormat="1" applyFont="1" applyFill="1" applyBorder="1" applyAlignment="1">
      <alignment horizontal="center" vertical="center"/>
    </xf>
    <xf numFmtId="0" fontId="64" fillId="45" borderId="72" xfId="194" applyFont="1" applyFill="1" applyBorder="1" applyAlignment="1">
      <alignment horizontal="center" vertical="center"/>
    </xf>
    <xf numFmtId="2" fontId="41" fillId="45" borderId="10" xfId="65" applyNumberFormat="1" applyFont="1" applyFill="1" applyBorder="1" applyAlignment="1">
      <alignment horizontal="center" vertical="center"/>
    </xf>
    <xf numFmtId="0" fontId="41" fillId="45" borderId="0" xfId="65" applyFont="1" applyFill="1" applyAlignment="1">
      <alignment vertical="center"/>
    </xf>
    <xf numFmtId="2" fontId="41" fillId="45" borderId="12" xfId="65" applyNumberFormat="1" applyFont="1" applyFill="1" applyBorder="1" applyAlignment="1">
      <alignment horizontal="center" vertical="center"/>
    </xf>
    <xf numFmtId="0" fontId="41" fillId="45" borderId="10" xfId="65" applyFont="1" applyFill="1" applyBorder="1" applyAlignment="1">
      <alignment horizontal="center" vertical="center"/>
    </xf>
    <xf numFmtId="2" fontId="64" fillId="45" borderId="72" xfId="194" applyNumberFormat="1" applyFont="1" applyFill="1" applyBorder="1" applyAlignment="1">
      <alignment horizontal="center" vertical="center"/>
    </xf>
    <xf numFmtId="0" fontId="41" fillId="45" borderId="12" xfId="65" applyFont="1" applyFill="1" applyBorder="1" applyAlignment="1">
      <alignment horizontal="left" vertical="center" wrapText="1"/>
    </xf>
    <xf numFmtId="2" fontId="41" fillId="0" borderId="10" xfId="65" applyNumberFormat="1" applyFont="1" applyFill="1" applyBorder="1" applyAlignment="1">
      <alignment horizontal="center" vertical="center"/>
    </xf>
    <xf numFmtId="0" fontId="40" fillId="45" borderId="0" xfId="65" applyFont="1" applyFill="1" applyAlignment="1">
      <alignment horizontal="left" vertical="center" wrapText="1"/>
    </xf>
    <xf numFmtId="0" fontId="41" fillId="45" borderId="0" xfId="65" applyFont="1" applyFill="1" applyAlignment="1">
      <alignment horizontal="left" vertical="center"/>
    </xf>
    <xf numFmtId="0" fontId="40" fillId="45" borderId="71" xfId="65" applyFont="1" applyFill="1" applyBorder="1" applyAlignment="1">
      <alignment vertical="center" wrapText="1"/>
    </xf>
    <xf numFmtId="0" fontId="41" fillId="45" borderId="10" xfId="65" applyFont="1" applyFill="1" applyBorder="1" applyAlignment="1">
      <alignment horizontal="center" vertical="center" wrapText="1"/>
    </xf>
    <xf numFmtId="0" fontId="40" fillId="45" borderId="0" xfId="65" applyFont="1" applyFill="1" applyAlignment="1">
      <alignment vertical="center"/>
    </xf>
    <xf numFmtId="2" fontId="41" fillId="45" borderId="10" xfId="65" applyNumberFormat="1" applyFont="1" applyFill="1" applyBorder="1" applyAlignment="1">
      <alignment horizontal="center" vertical="center" wrapText="1"/>
    </xf>
    <xf numFmtId="2" fontId="41" fillId="0" borderId="12" xfId="65" applyNumberFormat="1" applyFont="1" applyBorder="1" applyAlignment="1">
      <alignment horizontal="left" vertical="center" wrapText="1"/>
    </xf>
    <xf numFmtId="2" fontId="41" fillId="0" borderId="12" xfId="65" applyNumberFormat="1" applyFont="1" applyBorder="1" applyAlignment="1">
      <alignment vertical="center" wrapText="1"/>
    </xf>
    <xf numFmtId="2" fontId="41" fillId="0" borderId="13" xfId="65" applyNumberFormat="1" applyFont="1" applyBorder="1" applyAlignment="1">
      <alignment vertical="center" wrapText="1"/>
    </xf>
    <xf numFmtId="2" fontId="41" fillId="45" borderId="72" xfId="65" applyNumberFormat="1" applyFont="1" applyFill="1" applyBorder="1" applyAlignment="1">
      <alignment horizontal="center" vertical="center" wrapText="1"/>
    </xf>
    <xf numFmtId="0" fontId="41" fillId="0" borderId="12" xfId="65" applyFont="1" applyBorder="1" applyAlignment="1">
      <alignment horizontal="left" vertical="center"/>
    </xf>
    <xf numFmtId="2" fontId="41" fillId="0" borderId="10" xfId="65" applyNumberFormat="1" applyFont="1" applyBorder="1" applyAlignment="1">
      <alignment vertical="center" wrapText="1"/>
    </xf>
    <xf numFmtId="0" fontId="41" fillId="0" borderId="61" xfId="65" applyFont="1" applyBorder="1" applyAlignment="1">
      <alignment horizontal="left" vertical="center"/>
    </xf>
    <xf numFmtId="0" fontId="41" fillId="0" borderId="35" xfId="65" applyFont="1" applyBorder="1" applyAlignment="1">
      <alignment horizontal="left" vertical="center" wrapText="1"/>
    </xf>
    <xf numFmtId="194" fontId="41" fillId="0" borderId="10" xfId="65" applyNumberFormat="1" applyFont="1" applyBorder="1" applyAlignment="1">
      <alignment horizontal="center" vertical="center"/>
    </xf>
    <xf numFmtId="4" fontId="41" fillId="0" borderId="13" xfId="65" applyNumberFormat="1" applyFont="1" applyBorder="1" applyAlignment="1">
      <alignment vertical="center"/>
    </xf>
    <xf numFmtId="198" fontId="41" fillId="45" borderId="10" xfId="65" applyNumberFormat="1" applyFont="1" applyFill="1" applyBorder="1" applyAlignment="1">
      <alignment horizontal="center" vertical="center"/>
    </xf>
    <xf numFmtId="0" fontId="40" fillId="0" borderId="0" xfId="65" applyFont="1" applyFill="1" applyAlignment="1">
      <alignment vertical="center"/>
    </xf>
    <xf numFmtId="195" fontId="41" fillId="0" borderId="13" xfId="65" applyNumberFormat="1" applyFont="1" applyBorder="1" applyAlignment="1">
      <alignment horizontal="center" vertical="center"/>
    </xf>
    <xf numFmtId="191" fontId="41" fillId="0" borderId="72" xfId="65" applyNumberFormat="1" applyFont="1" applyBorder="1" applyAlignment="1">
      <alignment horizontal="center" vertical="center"/>
    </xf>
    <xf numFmtId="191" fontId="41" fillId="43" borderId="72" xfId="65" applyNumberFormat="1" applyFont="1" applyFill="1" applyBorder="1" applyAlignment="1">
      <alignment horizontal="center" vertical="center"/>
    </xf>
    <xf numFmtId="2" fontId="41" fillId="43" borderId="72" xfId="65" applyNumberFormat="1" applyFont="1" applyFill="1" applyBorder="1" applyAlignment="1">
      <alignment horizontal="center" vertical="center" wrapText="1"/>
    </xf>
    <xf numFmtId="2" fontId="41" fillId="43" borderId="72" xfId="65" applyNumberFormat="1" applyFont="1" applyFill="1" applyBorder="1" applyAlignment="1">
      <alignment horizontal="center" vertical="center"/>
    </xf>
    <xf numFmtId="0" fontId="41" fillId="45" borderId="62" xfId="65" applyFont="1" applyFill="1" applyBorder="1" applyAlignment="1">
      <alignment horizontal="left" vertical="center"/>
    </xf>
    <xf numFmtId="188" fontId="40" fillId="45" borderId="72" xfId="65" applyNumberFormat="1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2" fontId="65" fillId="45" borderId="10" xfId="194" applyNumberFormat="1" applyFont="1" applyFill="1" applyBorder="1" applyAlignment="1">
      <alignment horizontal="center" vertical="center"/>
    </xf>
    <xf numFmtId="0" fontId="65" fillId="45" borderId="63" xfId="194" applyFont="1" applyFill="1" applyBorder="1" applyAlignment="1">
      <alignment horizontal="left" vertical="center"/>
    </xf>
    <xf numFmtId="0" fontId="65" fillId="45" borderId="13" xfId="194" applyFont="1" applyFill="1" applyBorder="1" applyAlignment="1">
      <alignment horizontal="left" vertical="center" wrapText="1"/>
    </xf>
    <xf numFmtId="0" fontId="41" fillId="0" borderId="0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 wrapText="1"/>
    </xf>
    <xf numFmtId="2" fontId="41" fillId="45" borderId="71" xfId="65" applyNumberFormat="1" applyFont="1" applyFill="1" applyBorder="1" applyAlignment="1">
      <alignment horizontal="center" vertical="center"/>
    </xf>
    <xf numFmtId="191" fontId="41" fillId="0" borderId="67" xfId="65" applyNumberFormat="1" applyFont="1" applyBorder="1" applyAlignment="1">
      <alignment horizontal="center" vertical="center"/>
    </xf>
    <xf numFmtId="0" fontId="0" fillId="0" borderId="75" xfId="0" applyBorder="1" applyAlignment="1">
      <alignment vertical="center" wrapText="1"/>
    </xf>
    <xf numFmtId="2" fontId="41" fillId="0" borderId="71" xfId="65" applyNumberFormat="1" applyFont="1" applyFill="1" applyBorder="1" applyAlignment="1">
      <alignment horizontal="center" vertical="center"/>
    </xf>
    <xf numFmtId="191" fontId="41" fillId="45" borderId="67" xfId="65" applyNumberFormat="1" applyFont="1" applyFill="1" applyBorder="1" applyAlignment="1">
      <alignment horizontal="center" vertical="center"/>
    </xf>
    <xf numFmtId="0" fontId="41" fillId="0" borderId="13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 wrapText="1"/>
    </xf>
    <xf numFmtId="0" fontId="41" fillId="0" borderId="10" xfId="65" applyFont="1" applyBorder="1" applyAlignment="1">
      <alignment horizontal="center" vertical="center"/>
    </xf>
    <xf numFmtId="0" fontId="65" fillId="0" borderId="19" xfId="196" applyFont="1" applyBorder="1" applyAlignment="1">
      <alignment horizontal="left" vertical="center"/>
    </xf>
    <xf numFmtId="186" fontId="41" fillId="0" borderId="10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40" fillId="0" borderId="0" xfId="65" applyFont="1" applyAlignment="1">
      <alignment horizontal="left" vertical="center" wrapText="1"/>
    </xf>
    <xf numFmtId="191" fontId="41" fillId="45" borderId="13" xfId="65" applyNumberFormat="1" applyFont="1" applyFill="1" applyBorder="1" applyAlignment="1">
      <alignment horizontal="center" vertical="center"/>
    </xf>
    <xf numFmtId="191" fontId="41" fillId="45" borderId="10" xfId="65" applyNumberFormat="1" applyFont="1" applyFill="1" applyBorder="1" applyAlignment="1">
      <alignment horizontal="center" vertical="center"/>
    </xf>
    <xf numFmtId="0" fontId="40" fillId="46" borderId="0" xfId="65" applyFont="1" applyFill="1" applyAlignment="1">
      <alignment vertical="center"/>
    </xf>
    <xf numFmtId="0" fontId="41" fillId="0" borderId="67" xfId="65" applyFont="1" applyFill="1" applyBorder="1" applyAlignment="1">
      <alignment horizontal="left" vertical="center" wrapText="1"/>
    </xf>
    <xf numFmtId="2" fontId="80" fillId="45" borderId="72" xfId="0" applyNumberFormat="1" applyFont="1" applyFill="1" applyBorder="1" applyAlignment="1">
      <alignment horizontal="center" vertical="center"/>
    </xf>
    <xf numFmtId="188" fontId="21" fillId="45" borderId="10" xfId="0" applyNumberFormat="1" applyFont="1" applyFill="1" applyBorder="1" applyAlignment="1">
      <alignment horizontal="center" vertical="center"/>
    </xf>
    <xf numFmtId="188" fontId="80" fillId="45" borderId="72" xfId="0" applyNumberFormat="1" applyFont="1" applyFill="1" applyBorder="1" applyAlignment="1">
      <alignment horizontal="center" vertical="center"/>
    </xf>
    <xf numFmtId="0" fontId="64" fillId="46" borderId="0" xfId="0" applyFont="1" applyFill="1"/>
    <xf numFmtId="188" fontId="41" fillId="45" borderId="10" xfId="65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left" vertical="center" wrapText="1"/>
    </xf>
    <xf numFmtId="0" fontId="41" fillId="45" borderId="13" xfId="65" applyFont="1" applyFill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 wrapText="1"/>
    </xf>
    <xf numFmtId="0" fontId="41" fillId="0" borderId="62" xfId="65" applyFont="1" applyBorder="1" applyAlignment="1">
      <alignment horizontal="left" vertical="center"/>
    </xf>
    <xf numFmtId="0" fontId="41" fillId="0" borderId="10" xfId="65" applyFont="1" applyBorder="1" applyAlignment="1">
      <alignment horizontal="center" vertical="center" wrapText="1"/>
    </xf>
    <xf numFmtId="191" fontId="41" fillId="45" borderId="10" xfId="65" applyNumberFormat="1" applyFont="1" applyFill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186" fontId="41" fillId="45" borderId="13" xfId="65" applyNumberFormat="1" applyFont="1" applyFill="1" applyBorder="1" applyAlignment="1">
      <alignment horizontal="center" vertical="center"/>
    </xf>
    <xf numFmtId="0" fontId="41" fillId="0" borderId="12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left" vertical="center" wrapText="1"/>
    </xf>
    <xf numFmtId="186" fontId="41" fillId="0" borderId="13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41" fillId="0" borderId="12" xfId="65" applyFont="1" applyBorder="1" applyAlignment="1">
      <alignment horizontal="center" vertical="center"/>
    </xf>
    <xf numFmtId="186" fontId="41" fillId="0" borderId="10" xfId="65" applyNumberFormat="1" applyFont="1" applyBorder="1" applyAlignment="1">
      <alignment horizontal="center" vertical="center"/>
    </xf>
    <xf numFmtId="0" fontId="65" fillId="37" borderId="12" xfId="73" applyFont="1" applyFill="1" applyBorder="1" applyAlignment="1">
      <alignment horizontal="center" vertical="center"/>
    </xf>
    <xf numFmtId="0" fontId="65" fillId="37" borderId="13" xfId="73" applyFont="1" applyFill="1" applyBorder="1" applyAlignment="1">
      <alignment horizontal="center" vertical="center"/>
    </xf>
    <xf numFmtId="0" fontId="21" fillId="0" borderId="63" xfId="0" applyFont="1" applyBorder="1" applyAlignment="1">
      <alignment horizontal="left" vertical="center" wrapText="1"/>
    </xf>
    <xf numFmtId="0" fontId="41" fillId="0" borderId="12" xfId="65" applyFont="1" applyBorder="1" applyAlignment="1">
      <alignment horizontal="left" vertical="center"/>
    </xf>
    <xf numFmtId="0" fontId="40" fillId="0" borderId="0" xfId="65" applyFont="1" applyAlignment="1">
      <alignment horizontal="left" vertical="center" wrapText="1"/>
    </xf>
    <xf numFmtId="0" fontId="41" fillId="0" borderId="12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 wrapText="1"/>
    </xf>
    <xf numFmtId="0" fontId="41" fillId="0" borderId="62" xfId="65" applyFont="1" applyBorder="1" applyAlignment="1">
      <alignment horizontal="left" vertical="center" wrapText="1"/>
    </xf>
    <xf numFmtId="0" fontId="41" fillId="45" borderId="12" xfId="65" applyFont="1" applyFill="1" applyBorder="1" applyAlignment="1">
      <alignment horizontal="left" vertical="center" wrapText="1"/>
    </xf>
    <xf numFmtId="0" fontId="41" fillId="45" borderId="13" xfId="65" applyFont="1" applyFill="1" applyBorder="1" applyAlignment="1">
      <alignment horizontal="left" vertical="center" wrapText="1"/>
    </xf>
    <xf numFmtId="0" fontId="41" fillId="0" borderId="12" xfId="65" applyFont="1" applyBorder="1" applyAlignment="1">
      <alignment horizontal="center" vertical="center" wrapText="1"/>
    </xf>
    <xf numFmtId="0" fontId="41" fillId="0" borderId="13" xfId="65" applyFont="1" applyBorder="1" applyAlignment="1">
      <alignment horizontal="center" vertical="center" wrapText="1"/>
    </xf>
    <xf numFmtId="191" fontId="41" fillId="0" borderId="12" xfId="65" applyNumberFormat="1" applyFont="1" applyBorder="1" applyAlignment="1">
      <alignment horizontal="center" vertical="center"/>
    </xf>
    <xf numFmtId="191" fontId="41" fillId="0" borderId="13" xfId="65" applyNumberFormat="1" applyFont="1" applyBorder="1" applyAlignment="1">
      <alignment horizontal="center" vertical="center"/>
    </xf>
    <xf numFmtId="0" fontId="41" fillId="0" borderId="62" xfId="65" applyFont="1" applyBorder="1" applyAlignment="1">
      <alignment horizontal="left" vertical="center"/>
    </xf>
    <xf numFmtId="0" fontId="41" fillId="0" borderId="63" xfId="65" applyFont="1" applyBorder="1" applyAlignment="1">
      <alignment horizontal="left" vertical="center"/>
    </xf>
    <xf numFmtId="186" fontId="41" fillId="0" borderId="12" xfId="65" applyNumberFormat="1" applyFont="1" applyBorder="1" applyAlignment="1">
      <alignment horizontal="center" vertical="center"/>
    </xf>
    <xf numFmtId="186" fontId="41" fillId="0" borderId="13" xfId="65" applyNumberFormat="1" applyFont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/>
    </xf>
    <xf numFmtId="0" fontId="65" fillId="0" borderId="12" xfId="194" applyFont="1" applyBorder="1" applyAlignment="1">
      <alignment horizontal="center" vertical="center"/>
    </xf>
    <xf numFmtId="0" fontId="41" fillId="0" borderId="12" xfId="65" applyFont="1" applyBorder="1" applyAlignment="1">
      <alignment horizontal="left" vertical="center"/>
    </xf>
    <xf numFmtId="4" fontId="41" fillId="0" borderId="12" xfId="65" applyNumberFormat="1" applyFont="1" applyBorder="1" applyAlignment="1">
      <alignment horizontal="center" vertical="center"/>
    </xf>
    <xf numFmtId="4" fontId="41" fillId="0" borderId="13" xfId="65" applyNumberFormat="1" applyFont="1" applyBorder="1" applyAlignment="1">
      <alignment horizontal="center" vertical="center"/>
    </xf>
    <xf numFmtId="0" fontId="65" fillId="0" borderId="62" xfId="194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 wrapText="1"/>
    </xf>
    <xf numFmtId="0" fontId="65" fillId="0" borderId="12" xfId="194" applyFont="1" applyBorder="1" applyAlignment="1">
      <alignment horizontal="left" vertical="center" wrapText="1"/>
    </xf>
    <xf numFmtId="193" fontId="21" fillId="0" borderId="12" xfId="0" applyNumberFormat="1" applyFont="1" applyBorder="1" applyAlignment="1">
      <alignment horizontal="center" vertical="center"/>
    </xf>
    <xf numFmtId="193" fontId="21" fillId="0" borderId="13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/>
    </xf>
    <xf numFmtId="0" fontId="65" fillId="0" borderId="62" xfId="194" applyFont="1" applyBorder="1" applyAlignment="1">
      <alignment horizontal="left" vertical="center" wrapText="1"/>
    </xf>
    <xf numFmtId="0" fontId="65" fillId="0" borderId="19" xfId="196" applyFont="1" applyBorder="1" applyAlignment="1">
      <alignment horizontal="left" vertical="center"/>
    </xf>
    <xf numFmtId="0" fontId="64" fillId="0" borderId="0" xfId="194" applyFont="1"/>
    <xf numFmtId="0" fontId="65" fillId="0" borderId="0" xfId="194" applyFont="1"/>
    <xf numFmtId="0" fontId="64" fillId="0" borderId="0" xfId="194" applyFont="1" applyAlignment="1">
      <alignment vertical="center"/>
    </xf>
    <xf numFmtId="0" fontId="65" fillId="0" borderId="0" xfId="194" applyFont="1" applyAlignment="1">
      <alignment vertical="center"/>
    </xf>
    <xf numFmtId="2" fontId="65" fillId="0" borderId="12" xfId="194" applyNumberFormat="1" applyFont="1" applyBorder="1" applyAlignment="1">
      <alignment horizontal="center" vertical="center"/>
    </xf>
    <xf numFmtId="2" fontId="41" fillId="0" borderId="12" xfId="65" applyNumberFormat="1" applyFont="1" applyBorder="1" applyAlignment="1">
      <alignment horizontal="center" vertical="center"/>
    </xf>
    <xf numFmtId="0" fontId="65" fillId="0" borderId="19" xfId="194" applyFont="1" applyBorder="1" applyAlignment="1">
      <alignment horizontal="left" vertical="center"/>
    </xf>
    <xf numFmtId="0" fontId="65" fillId="0" borderId="10" xfId="194" applyFont="1" applyBorder="1" applyAlignment="1">
      <alignment horizontal="center" vertical="center"/>
    </xf>
    <xf numFmtId="0" fontId="65" fillId="0" borderId="10" xfId="194" applyFont="1" applyBorder="1" applyAlignment="1">
      <alignment horizontal="left" vertical="center" wrapText="1"/>
    </xf>
    <xf numFmtId="0" fontId="41" fillId="0" borderId="19" xfId="65" applyFont="1" applyBorder="1" applyAlignment="1">
      <alignment horizontal="left" vertical="center"/>
    </xf>
    <xf numFmtId="192" fontId="21" fillId="0" borderId="13" xfId="0" applyNumberFormat="1" applyFont="1" applyBorder="1" applyAlignment="1">
      <alignment horizontal="center" vertical="center"/>
    </xf>
    <xf numFmtId="186" fontId="41" fillId="0" borderId="10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4" fillId="0" borderId="0" xfId="0" applyFont="1"/>
    <xf numFmtId="0" fontId="21" fillId="0" borderId="0" xfId="0" applyFont="1"/>
    <xf numFmtId="191" fontId="41" fillId="45" borderId="10" xfId="65" applyNumberFormat="1" applyFont="1" applyFill="1" applyBorder="1" applyAlignment="1">
      <alignment horizontal="center" vertical="center"/>
    </xf>
    <xf numFmtId="186" fontId="41" fillId="45" borderId="13" xfId="65" applyNumberFormat="1" applyFont="1" applyFill="1" applyBorder="1" applyAlignment="1">
      <alignment horizontal="center" vertical="center"/>
    </xf>
    <xf numFmtId="193" fontId="65" fillId="45" borderId="10" xfId="73" applyNumberFormat="1" applyFont="1" applyFill="1" applyBorder="1" applyAlignment="1">
      <alignment horizontal="center" vertical="center"/>
    </xf>
    <xf numFmtId="0" fontId="65" fillId="45" borderId="10" xfId="73" applyFont="1" applyFill="1" applyBorder="1" applyAlignment="1">
      <alignment horizontal="center" vertical="center"/>
    </xf>
    <xf numFmtId="2" fontId="65" fillId="45" borderId="10" xfId="73" applyNumberFormat="1" applyFont="1" applyFill="1" applyBorder="1" applyAlignment="1">
      <alignment horizontal="center" vertical="center"/>
    </xf>
    <xf numFmtId="2" fontId="64" fillId="45" borderId="72" xfId="73" applyNumberFormat="1" applyFont="1" applyFill="1" applyBorder="1" applyAlignment="1">
      <alignment horizontal="center" vertical="center"/>
    </xf>
    <xf numFmtId="2" fontId="41" fillId="45" borderId="72" xfId="65" applyNumberFormat="1" applyFont="1" applyFill="1" applyBorder="1" applyAlignment="1">
      <alignment horizontal="center" vertical="center"/>
    </xf>
    <xf numFmtId="188" fontId="65" fillId="45" borderId="10" xfId="196" applyNumberFormat="1" applyFont="1" applyFill="1" applyBorder="1" applyAlignment="1">
      <alignment horizontal="center" vertical="center"/>
    </xf>
    <xf numFmtId="2" fontId="65" fillId="45" borderId="10" xfId="196" applyNumberFormat="1" applyFont="1" applyFill="1" applyBorder="1" applyAlignment="1">
      <alignment horizontal="center" vertical="center"/>
    </xf>
    <xf numFmtId="0" fontId="41" fillId="45" borderId="12" xfId="65" applyFont="1" applyFill="1" applyBorder="1" applyAlignment="1">
      <alignment horizontal="center" vertical="center"/>
    </xf>
    <xf numFmtId="0" fontId="41" fillId="45" borderId="10" xfId="65" applyFont="1" applyFill="1" applyBorder="1" applyAlignment="1">
      <alignment vertical="center" wrapText="1"/>
    </xf>
    <xf numFmtId="0" fontId="41" fillId="45" borderId="10" xfId="65" applyFont="1" applyFill="1" applyBorder="1" applyAlignment="1">
      <alignment horizontal="left" vertical="center"/>
    </xf>
    <xf numFmtId="0" fontId="40" fillId="0" borderId="71" xfId="65" applyFont="1" applyFill="1" applyBorder="1" applyAlignment="1">
      <alignment vertical="center" wrapText="1"/>
    </xf>
    <xf numFmtId="191" fontId="41" fillId="0" borderId="10" xfId="65" applyNumberFormat="1" applyFont="1" applyFill="1" applyBorder="1" applyAlignment="1">
      <alignment horizontal="center" vertical="center"/>
    </xf>
    <xf numFmtId="0" fontId="41" fillId="0" borderId="10" xfId="65" applyFont="1" applyFill="1" applyBorder="1" applyAlignment="1">
      <alignment vertical="center" wrapText="1"/>
    </xf>
    <xf numFmtId="0" fontId="41" fillId="0" borderId="10" xfId="65" applyFont="1" applyFill="1" applyBorder="1" applyAlignment="1">
      <alignment horizontal="left" vertical="center"/>
    </xf>
    <xf numFmtId="191" fontId="41" fillId="0" borderId="67" xfId="65" applyNumberFormat="1" applyFont="1" applyFill="1" applyBorder="1" applyAlignment="1">
      <alignment horizontal="center" vertical="center"/>
    </xf>
    <xf numFmtId="4" fontId="41" fillId="0" borderId="10" xfId="65" applyNumberFormat="1" applyFont="1" applyFill="1" applyBorder="1" applyAlignment="1">
      <alignment horizontal="center" vertical="center"/>
    </xf>
    <xf numFmtId="0" fontId="41" fillId="0" borderId="10" xfId="65" applyFont="1" applyFill="1" applyBorder="1" applyAlignment="1">
      <alignment horizontal="center" vertical="center" wrapText="1"/>
    </xf>
    <xf numFmtId="0" fontId="64" fillId="0" borderId="0" xfId="0" applyFont="1" applyFill="1"/>
    <xf numFmtId="0" fontId="64" fillId="46" borderId="0" xfId="0" applyFont="1" applyFill="1" applyAlignment="1">
      <alignment vertical="center"/>
    </xf>
    <xf numFmtId="2" fontId="80" fillId="45" borderId="72" xfId="0" applyNumberFormat="1" applyFont="1" applyFill="1" applyBorder="1" applyAlignment="1">
      <alignment horizontal="center"/>
    </xf>
    <xf numFmtId="0" fontId="21" fillId="45" borderId="72" xfId="0" applyFont="1" applyFill="1" applyBorder="1" applyAlignment="1">
      <alignment horizontal="center"/>
    </xf>
    <xf numFmtId="196" fontId="65" fillId="0" borderId="10" xfId="194" applyNumberFormat="1" applyFont="1" applyBorder="1" applyAlignment="1">
      <alignment horizontal="center" vertical="center"/>
    </xf>
    <xf numFmtId="196" fontId="65" fillId="0" borderId="12" xfId="194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43" fontId="70" fillId="0" borderId="0" xfId="43" applyFont="1" applyBorder="1" applyAlignment="1">
      <alignment horizontal="right" vertical="center"/>
    </xf>
    <xf numFmtId="43" fontId="70" fillId="0" borderId="78" xfId="43" applyFont="1" applyBorder="1" applyAlignment="1">
      <alignment horizontal="right" vertical="center"/>
    </xf>
    <xf numFmtId="43" fontId="71" fillId="0" borderId="78" xfId="43" applyFont="1" applyBorder="1" applyAlignment="1">
      <alignment horizontal="right" vertical="center"/>
    </xf>
    <xf numFmtId="43" fontId="70" fillId="0" borderId="75" xfId="43" applyFont="1" applyBorder="1" applyAlignment="1">
      <alignment horizontal="right" vertical="center"/>
    </xf>
    <xf numFmtId="43" fontId="70" fillId="37" borderId="67" xfId="43" applyFont="1" applyFill="1" applyBorder="1" applyAlignment="1">
      <alignment horizontal="right" vertical="center"/>
    </xf>
    <xf numFmtId="188" fontId="70" fillId="0" borderId="71" xfId="0" applyNumberFormat="1" applyFont="1" applyBorder="1" applyAlignment="1">
      <alignment vertical="center"/>
    </xf>
    <xf numFmtId="43" fontId="70" fillId="0" borderId="67" xfId="0" applyNumberFormat="1" applyFont="1" applyBorder="1" applyAlignment="1">
      <alignment vertical="center"/>
    </xf>
    <xf numFmtId="43" fontId="70" fillId="0" borderId="77" xfId="43" applyFont="1" applyBorder="1" applyAlignment="1">
      <alignment horizontal="right" vertical="center"/>
    </xf>
    <xf numFmtId="43" fontId="74" fillId="36" borderId="17" xfId="43" applyFont="1" applyFill="1" applyBorder="1" applyAlignment="1">
      <alignment horizontal="right" vertical="center"/>
    </xf>
    <xf numFmtId="2" fontId="64" fillId="45" borderId="67" xfId="196" applyNumberFormat="1" applyFont="1" applyFill="1" applyBorder="1" applyAlignment="1">
      <alignment horizontal="center" vertical="center"/>
    </xf>
    <xf numFmtId="0" fontId="37" fillId="0" borderId="60" xfId="151" applyFont="1" applyBorder="1" applyAlignment="1">
      <alignment horizontal="center" vertical="center" wrapText="1"/>
    </xf>
    <xf numFmtId="166" fontId="37" fillId="0" borderId="59" xfId="152" applyFont="1" applyBorder="1" applyAlignment="1">
      <alignment vertical="center"/>
    </xf>
    <xf numFmtId="1" fontId="37" fillId="0" borderId="12" xfId="151" applyNumberFormat="1" applyFont="1" applyBorder="1" applyAlignment="1">
      <alignment horizontal="center" vertical="center"/>
    </xf>
    <xf numFmtId="0" fontId="37" fillId="0" borderId="12" xfId="151" applyFont="1" applyBorder="1" applyAlignment="1">
      <alignment horizontal="center" vertical="center"/>
    </xf>
    <xf numFmtId="4" fontId="37" fillId="0" borderId="12" xfId="151" applyNumberFormat="1" applyFont="1" applyBorder="1" applyAlignment="1">
      <alignment vertical="center"/>
    </xf>
    <xf numFmtId="43" fontId="71" fillId="45" borderId="10" xfId="43" applyFont="1" applyFill="1" applyBorder="1" applyAlignment="1">
      <alignment horizontal="right" vertical="center"/>
    </xf>
    <xf numFmtId="43" fontId="71" fillId="45" borderId="13" xfId="43" applyFont="1" applyFill="1" applyBorder="1" applyAlignment="1">
      <alignment horizontal="right" vertical="center"/>
    </xf>
    <xf numFmtId="2" fontId="65" fillId="0" borderId="10" xfId="194" applyNumberFormat="1" applyFont="1" applyFill="1" applyBorder="1" applyAlignment="1">
      <alignment horizontal="center" vertical="center"/>
    </xf>
    <xf numFmtId="188" fontId="65" fillId="0" borderId="10" xfId="194" applyNumberFormat="1" applyFont="1" applyFill="1" applyBorder="1" applyAlignment="1">
      <alignment horizontal="center" vertical="center"/>
    </xf>
    <xf numFmtId="188" fontId="41" fillId="0" borderId="10" xfId="65" applyNumberFormat="1" applyFont="1" applyFill="1" applyBorder="1" applyAlignment="1">
      <alignment horizontal="center" vertical="center"/>
    </xf>
    <xf numFmtId="43" fontId="71" fillId="0" borderId="72" xfId="43" applyFont="1" applyBorder="1" applyAlignment="1">
      <alignment horizontal="right" vertical="center"/>
    </xf>
    <xf numFmtId="2" fontId="71" fillId="45" borderId="10" xfId="0" applyNumberFormat="1" applyFont="1" applyFill="1" applyBorder="1" applyAlignment="1">
      <alignment vertical="center"/>
    </xf>
    <xf numFmtId="2" fontId="71" fillId="45" borderId="10" xfId="0" applyNumberFormat="1" applyFont="1" applyFill="1" applyBorder="1" applyAlignment="1">
      <alignment horizontal="right" vertical="center"/>
    </xf>
    <xf numFmtId="2" fontId="65" fillId="45" borderId="72" xfId="194" applyNumberFormat="1" applyFont="1" applyFill="1" applyBorder="1" applyAlignment="1">
      <alignment horizontal="center" vertical="center"/>
    </xf>
    <xf numFmtId="0" fontId="65" fillId="0" borderId="10" xfId="194" applyFont="1" applyFill="1" applyBorder="1" applyAlignment="1">
      <alignment vertical="center" wrapText="1"/>
    </xf>
    <xf numFmtId="0" fontId="41" fillId="45" borderId="72" xfId="65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center" vertical="center" wrapText="1"/>
    </xf>
    <xf numFmtId="2" fontId="73" fillId="45" borderId="10" xfId="0" applyNumberFormat="1" applyFont="1" applyFill="1" applyBorder="1" applyAlignment="1">
      <alignment horizontal="right" vertical="center"/>
    </xf>
    <xf numFmtId="43" fontId="71" fillId="45" borderId="35" xfId="43" applyFont="1" applyFill="1" applyBorder="1" applyAlignment="1">
      <alignment horizontal="right" vertical="center"/>
    </xf>
    <xf numFmtId="188" fontId="40" fillId="0" borderId="0" xfId="65" applyNumberFormat="1" applyFont="1" applyFill="1" applyAlignment="1">
      <alignment horizontal="left" vertical="center"/>
    </xf>
    <xf numFmtId="188" fontId="71" fillId="45" borderId="10" xfId="0" applyNumberFormat="1" applyFont="1" applyFill="1" applyBorder="1" applyAlignment="1">
      <alignment horizontal="right" vertical="center"/>
    </xf>
    <xf numFmtId="0" fontId="80" fillId="45" borderId="72" xfId="0" applyFont="1" applyFill="1" applyBorder="1" applyAlignment="1">
      <alignment horizontal="center"/>
    </xf>
    <xf numFmtId="188" fontId="71" fillId="45" borderId="10" xfId="0" applyNumberFormat="1" applyFont="1" applyFill="1" applyBorder="1" applyAlignment="1">
      <alignment vertical="center"/>
    </xf>
    <xf numFmtId="0" fontId="65" fillId="45" borderId="10" xfId="194" applyFont="1" applyFill="1" applyBorder="1" applyAlignment="1">
      <alignment horizontal="center" vertical="center"/>
    </xf>
    <xf numFmtId="43" fontId="71" fillId="0" borderId="10" xfId="43" applyFont="1" applyFill="1" applyBorder="1" applyAlignment="1">
      <alignment vertical="center" wrapText="1"/>
    </xf>
    <xf numFmtId="43" fontId="33" fillId="45" borderId="10" xfId="43" applyFont="1" applyFill="1" applyBorder="1" applyAlignment="1">
      <alignment horizontal="right" vertical="center"/>
    </xf>
    <xf numFmtId="0" fontId="71" fillId="45" borderId="10" xfId="0" applyFont="1" applyFill="1" applyBorder="1" applyAlignment="1">
      <alignment vertical="center"/>
    </xf>
    <xf numFmtId="0" fontId="71" fillId="0" borderId="12" xfId="0" applyFont="1" applyBorder="1" applyAlignment="1">
      <alignment vertical="center" wrapText="1"/>
    </xf>
    <xf numFmtId="0" fontId="41" fillId="0" borderId="12" xfId="65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186" fontId="41" fillId="0" borderId="13" xfId="65" applyNumberFormat="1" applyFont="1" applyBorder="1" applyAlignment="1">
      <alignment horizontal="center" vertical="center"/>
    </xf>
    <xf numFmtId="0" fontId="41" fillId="0" borderId="13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 wrapText="1"/>
    </xf>
    <xf numFmtId="0" fontId="41" fillId="0" borderId="10" xfId="65" applyFont="1" applyFill="1" applyBorder="1" applyAlignment="1">
      <alignment horizontal="center" vertical="center" wrapText="1"/>
    </xf>
    <xf numFmtId="0" fontId="41" fillId="0" borderId="10" xfId="65" applyFont="1" applyBorder="1" applyAlignment="1">
      <alignment horizontal="center" vertical="center" wrapText="1"/>
    </xf>
    <xf numFmtId="191" fontId="41" fillId="45" borderId="10" xfId="65" applyNumberFormat="1" applyFont="1" applyFill="1" applyBorder="1" applyAlignment="1">
      <alignment horizontal="center" vertical="center"/>
    </xf>
    <xf numFmtId="191" fontId="41" fillId="0" borderId="13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left" vertical="center" wrapText="1"/>
    </xf>
    <xf numFmtId="0" fontId="41" fillId="0" borderId="19" xfId="65" applyFont="1" applyBorder="1" applyAlignment="1">
      <alignment horizontal="left" vertical="center"/>
    </xf>
    <xf numFmtId="0" fontId="64" fillId="0" borderId="0" xfId="194" applyFont="1"/>
    <xf numFmtId="0" fontId="65" fillId="0" borderId="0" xfId="194" applyFont="1"/>
    <xf numFmtId="0" fontId="21" fillId="0" borderId="63" xfId="0" applyFont="1" applyBorder="1" applyAlignment="1">
      <alignment horizontal="left" vertical="center" wrapText="1"/>
    </xf>
    <xf numFmtId="0" fontId="21" fillId="0" borderId="0" xfId="0" applyFont="1"/>
    <xf numFmtId="43" fontId="71" fillId="47" borderId="13" xfId="43" applyFont="1" applyFill="1" applyBorder="1" applyAlignment="1">
      <alignment vertical="center" wrapText="1"/>
    </xf>
    <xf numFmtId="43" fontId="71" fillId="47" borderId="10" xfId="43" applyFont="1" applyFill="1" applyBorder="1" applyAlignment="1">
      <alignment vertical="center" wrapText="1"/>
    </xf>
    <xf numFmtId="43" fontId="71" fillId="47" borderId="0" xfId="43" applyFont="1" applyFill="1" applyAlignment="1">
      <alignment vertical="center" wrapText="1"/>
    </xf>
    <xf numFmtId="43" fontId="71" fillId="0" borderId="10" xfId="43" applyFont="1" applyBorder="1" applyAlignment="1">
      <alignment horizontal="right" vertical="center" wrapText="1"/>
    </xf>
    <xf numFmtId="43" fontId="71" fillId="47" borderId="10" xfId="43" applyFont="1" applyFill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 wrapText="1"/>
    </xf>
    <xf numFmtId="2" fontId="41" fillId="41" borderId="10" xfId="65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right" vertical="center"/>
    </xf>
    <xf numFmtId="4" fontId="70" fillId="0" borderId="10" xfId="0" applyNumberFormat="1" applyFont="1" applyFill="1" applyBorder="1" applyAlignment="1">
      <alignment horizontal="right" vertical="center"/>
    </xf>
    <xf numFmtId="4" fontId="71" fillId="0" borderId="13" xfId="0" applyNumberFormat="1" applyFont="1" applyFill="1" applyBorder="1" applyAlignment="1">
      <alignment horizontal="right" vertical="center"/>
    </xf>
    <xf numFmtId="4" fontId="71" fillId="0" borderId="13" xfId="43" applyNumberFormat="1" applyFont="1" applyFill="1" applyBorder="1" applyAlignment="1">
      <alignment horizontal="right" vertical="center"/>
    </xf>
    <xf numFmtId="2" fontId="41" fillId="0" borderId="12" xfId="65" applyNumberFormat="1" applyFont="1" applyFill="1" applyBorder="1" applyAlignment="1">
      <alignment horizontal="center" vertical="center"/>
    </xf>
    <xf numFmtId="2" fontId="41" fillId="0" borderId="10" xfId="65" applyNumberFormat="1" applyFont="1" applyFill="1" applyBorder="1" applyAlignment="1">
      <alignment horizontal="center" vertical="center" wrapText="1"/>
    </xf>
    <xf numFmtId="4" fontId="41" fillId="0" borderId="10" xfId="65" applyNumberFormat="1" applyFont="1" applyFill="1" applyBorder="1" applyAlignment="1">
      <alignment horizontal="center" vertical="center" wrapText="1"/>
    </xf>
    <xf numFmtId="0" fontId="37" fillId="0" borderId="0" xfId="63" applyFont="1"/>
    <xf numFmtId="0" fontId="38" fillId="48" borderId="36" xfId="63" applyFont="1" applyFill="1" applyBorder="1" applyAlignment="1">
      <alignment vertical="top" wrapText="1"/>
    </xf>
    <xf numFmtId="4" fontId="1" fillId="36" borderId="11" xfId="63" applyNumberFormat="1" applyFont="1" applyFill="1" applyBorder="1" applyAlignment="1">
      <alignment horizontal="center" vertical="top"/>
    </xf>
    <xf numFmtId="0" fontId="38" fillId="48" borderId="90" xfId="63" applyFont="1" applyFill="1" applyBorder="1" applyAlignment="1">
      <alignment horizontal="center" vertical="top"/>
    </xf>
    <xf numFmtId="199" fontId="38" fillId="0" borderId="11" xfId="63" applyNumberFormat="1" applyFont="1" applyBorder="1" applyAlignment="1">
      <alignment vertical="top" wrapText="1"/>
    </xf>
    <xf numFmtId="0" fontId="38" fillId="0" borderId="11" xfId="63" applyFont="1" applyBorder="1" applyAlignment="1">
      <alignment vertical="top" wrapText="1"/>
    </xf>
    <xf numFmtId="0" fontId="37" fillId="0" borderId="11" xfId="63" applyFont="1" applyBorder="1"/>
    <xf numFmtId="0" fontId="38" fillId="44" borderId="90" xfId="63" applyFont="1" applyFill="1" applyBorder="1" applyAlignment="1">
      <alignment horizontal="center" vertical="top"/>
    </xf>
    <xf numFmtId="0" fontId="38" fillId="44" borderId="36" xfId="63" applyFont="1" applyFill="1" applyBorder="1" applyAlignment="1">
      <alignment vertical="top" wrapText="1"/>
    </xf>
    <xf numFmtId="10" fontId="38" fillId="0" borderId="11" xfId="63" applyNumberFormat="1" applyFont="1" applyBorder="1" applyAlignment="1">
      <alignment vertical="top" wrapText="1"/>
    </xf>
    <xf numFmtId="199" fontId="37" fillId="0" borderId="11" xfId="63" applyNumberFormat="1" applyFont="1" applyBorder="1"/>
    <xf numFmtId="0" fontId="37" fillId="0" borderId="11" xfId="63" applyFont="1" applyBorder="1" applyAlignment="1">
      <alignment vertical="top" wrapText="1"/>
    </xf>
    <xf numFmtId="199" fontId="37" fillId="0" borderId="11" xfId="63" applyNumberFormat="1" applyFont="1" applyBorder="1" applyAlignment="1">
      <alignment vertical="top" wrapText="1"/>
    </xf>
    <xf numFmtId="199" fontId="38" fillId="49" borderId="0" xfId="63" applyNumberFormat="1" applyFont="1" applyFill="1" applyAlignment="1">
      <alignment vertical="top" wrapText="1"/>
    </xf>
    <xf numFmtId="10" fontId="38" fillId="49" borderId="0" xfId="63" applyNumberFormat="1" applyFont="1" applyFill="1"/>
    <xf numFmtId="199" fontId="38" fillId="49" borderId="0" xfId="63" applyNumberFormat="1" applyFont="1" applyFill="1" applyAlignment="1">
      <alignment wrapText="1"/>
    </xf>
    <xf numFmtId="199" fontId="37" fillId="0" borderId="0" xfId="63" applyNumberFormat="1" applyFont="1"/>
    <xf numFmtId="199" fontId="37" fillId="46" borderId="11" xfId="63" applyNumberFormat="1" applyFont="1" applyFill="1" applyBorder="1"/>
    <xf numFmtId="199" fontId="37" fillId="0" borderId="11" xfId="63" applyNumberFormat="1" applyFont="1" applyFill="1" applyBorder="1"/>
    <xf numFmtId="199" fontId="37" fillId="46" borderId="11" xfId="63" applyNumberFormat="1" applyFont="1" applyFill="1" applyBorder="1" applyAlignment="1">
      <alignment wrapText="1"/>
    </xf>
    <xf numFmtId="43" fontId="71" fillId="45" borderId="67" xfId="43" applyFont="1" applyFill="1" applyBorder="1" applyAlignment="1">
      <alignment horizontal="right" vertical="center"/>
    </xf>
    <xf numFmtId="0" fontId="41" fillId="0" borderId="13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 wrapText="1"/>
    </xf>
    <xf numFmtId="186" fontId="41" fillId="0" borderId="13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 wrapText="1"/>
    </xf>
    <xf numFmtId="0" fontId="41" fillId="0" borderId="19" xfId="65" applyFont="1" applyBorder="1" applyAlignment="1">
      <alignment horizontal="left" vertical="center"/>
    </xf>
    <xf numFmtId="43" fontId="71" fillId="0" borderId="13" xfId="43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vertical="center"/>
    </xf>
    <xf numFmtId="43" fontId="71" fillId="0" borderId="10" xfId="43" applyFont="1" applyFill="1" applyBorder="1" applyAlignment="1">
      <alignment horizontal="right" vertical="center"/>
    </xf>
    <xf numFmtId="43" fontId="71" fillId="0" borderId="67" xfId="43" applyFont="1" applyFill="1" applyBorder="1" applyAlignment="1">
      <alignment vertical="center" wrapText="1"/>
    </xf>
    <xf numFmtId="0" fontId="41" fillId="0" borderId="13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 wrapText="1"/>
    </xf>
    <xf numFmtId="186" fontId="41" fillId="0" borderId="13" xfId="65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left" vertical="center" wrapText="1"/>
    </xf>
    <xf numFmtId="4" fontId="83" fillId="0" borderId="42" xfId="0" applyNumberFormat="1" applyFont="1" applyBorder="1" applyAlignment="1">
      <alignment horizontal="center" vertical="center" wrapText="1"/>
    </xf>
    <xf numFmtId="4" fontId="83" fillId="0" borderId="48" xfId="0" applyNumberFormat="1" applyFont="1" applyBorder="1" applyAlignment="1">
      <alignment horizontal="center" vertical="center" wrapText="1"/>
    </xf>
    <xf numFmtId="4" fontId="83" fillId="0" borderId="40" xfId="0" applyNumberFormat="1" applyFont="1" applyBorder="1" applyAlignment="1">
      <alignment horizontal="center" vertical="center" wrapText="1"/>
    </xf>
    <xf numFmtId="4" fontId="83" fillId="0" borderId="54" xfId="0" applyNumberFormat="1" applyFont="1" applyBorder="1" applyAlignment="1">
      <alignment horizontal="center" vertical="center" wrapText="1"/>
    </xf>
    <xf numFmtId="4" fontId="74" fillId="0" borderId="68" xfId="0" applyNumberFormat="1" applyFont="1" applyBorder="1" applyAlignment="1">
      <alignment horizontal="center" vertical="center" wrapText="1"/>
    </xf>
    <xf numFmtId="4" fontId="74" fillId="0" borderId="23" xfId="0" applyNumberFormat="1" applyFont="1" applyBorder="1" applyAlignment="1">
      <alignment horizontal="center" vertical="center" wrapText="1"/>
    </xf>
    <xf numFmtId="4" fontId="74" fillId="0" borderId="24" xfId="0" applyNumberFormat="1" applyFont="1" applyBorder="1" applyAlignment="1">
      <alignment horizontal="center" vertical="center" wrapText="1"/>
    </xf>
    <xf numFmtId="4" fontId="74" fillId="0" borderId="30" xfId="0" applyNumberFormat="1" applyFont="1" applyBorder="1" applyAlignment="1">
      <alignment horizontal="center" vertical="center" wrapText="1"/>
    </xf>
    <xf numFmtId="4" fontId="74" fillId="0" borderId="31" xfId="0" applyNumberFormat="1" applyFont="1" applyBorder="1" applyAlignment="1">
      <alignment horizontal="center" vertical="center" wrapText="1"/>
    </xf>
    <xf numFmtId="4" fontId="74" fillId="0" borderId="32" xfId="0" applyNumberFormat="1" applyFont="1" applyBorder="1" applyAlignment="1">
      <alignment horizontal="center" vertical="center" wrapText="1"/>
    </xf>
    <xf numFmtId="43" fontId="71" fillId="0" borderId="26" xfId="43" applyFont="1" applyBorder="1" applyAlignment="1">
      <alignment horizontal="center" vertical="center" wrapText="1"/>
    </xf>
    <xf numFmtId="43" fontId="71" fillId="0" borderId="18" xfId="43" applyFont="1" applyBorder="1" applyAlignment="1">
      <alignment horizontal="center" vertical="center" wrapText="1"/>
    </xf>
    <xf numFmtId="43" fontId="71" fillId="0" borderId="27" xfId="43" applyFont="1" applyBorder="1" applyAlignment="1">
      <alignment horizontal="center" vertical="center" wrapText="1"/>
    </xf>
    <xf numFmtId="4" fontId="71" fillId="0" borderId="68" xfId="0" applyNumberFormat="1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71" fillId="36" borderId="80" xfId="0" applyFont="1" applyFill="1" applyBorder="1" applyAlignment="1">
      <alignment horizontal="center" vertical="center"/>
    </xf>
    <xf numFmtId="0" fontId="71" fillId="36" borderId="64" xfId="0" applyFont="1" applyFill="1" applyBorder="1" applyAlignment="1">
      <alignment horizontal="center" vertical="center"/>
    </xf>
    <xf numFmtId="0" fontId="71" fillId="36" borderId="81" xfId="0" applyFont="1" applyFill="1" applyBorder="1" applyAlignment="1">
      <alignment horizontal="center" vertical="center"/>
    </xf>
    <xf numFmtId="0" fontId="71" fillId="36" borderId="65" xfId="0" applyFont="1" applyFill="1" applyBorder="1" applyAlignment="1">
      <alignment horizontal="center" vertical="center"/>
    </xf>
    <xf numFmtId="197" fontId="85" fillId="36" borderId="81" xfId="43" applyNumberFormat="1" applyFont="1" applyFill="1" applyBorder="1" applyAlignment="1">
      <alignment horizontal="left" vertical="center" wrapText="1"/>
    </xf>
    <xf numFmtId="197" fontId="85" fillId="36" borderId="65" xfId="43" applyNumberFormat="1" applyFont="1" applyFill="1" applyBorder="1" applyAlignment="1">
      <alignment horizontal="left" vertical="center" wrapText="1"/>
    </xf>
    <xf numFmtId="0" fontId="71" fillId="36" borderId="81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" fontId="71" fillId="36" borderId="81" xfId="0" applyNumberFormat="1" applyFont="1" applyFill="1" applyBorder="1" applyAlignment="1">
      <alignment horizontal="right" vertical="center" wrapText="1"/>
    </xf>
    <xf numFmtId="4" fontId="71" fillId="36" borderId="65" xfId="0" applyNumberFormat="1" applyFont="1" applyFill="1" applyBorder="1" applyAlignment="1">
      <alignment horizontal="right" vertical="center" wrapText="1"/>
    </xf>
    <xf numFmtId="4" fontId="71" fillId="36" borderId="83" xfId="0" applyNumberFormat="1" applyFont="1" applyFill="1" applyBorder="1" applyAlignment="1">
      <alignment horizontal="center" vertical="center"/>
    </xf>
    <xf numFmtId="4" fontId="71" fillId="36" borderId="89" xfId="0" applyNumberFormat="1" applyFont="1" applyFill="1" applyBorder="1" applyAlignment="1">
      <alignment horizontal="center" vertical="center"/>
    </xf>
    <xf numFmtId="4" fontId="71" fillId="36" borderId="83" xfId="0" applyNumberFormat="1" applyFont="1" applyFill="1" applyBorder="1" applyAlignment="1">
      <alignment horizontal="center" vertical="center" wrapText="1"/>
    </xf>
    <xf numFmtId="4" fontId="71" fillId="36" borderId="15" xfId="0" applyNumberFormat="1" applyFont="1" applyFill="1" applyBorder="1" applyAlignment="1">
      <alignment horizontal="center" vertical="center" wrapText="1"/>
    </xf>
    <xf numFmtId="4" fontId="71" fillId="36" borderId="82" xfId="0" applyNumberFormat="1" applyFont="1" applyFill="1" applyBorder="1" applyAlignment="1">
      <alignment horizontal="center" vertical="center" wrapText="1"/>
    </xf>
    <xf numFmtId="43" fontId="70" fillId="36" borderId="67" xfId="43" applyFont="1" applyFill="1" applyBorder="1" applyAlignment="1">
      <alignment horizontal="left" vertical="center"/>
    </xf>
    <xf numFmtId="0" fontId="64" fillId="0" borderId="71" xfId="194" applyFont="1" applyBorder="1" applyAlignment="1">
      <alignment horizontal="left" vertical="center" wrapText="1"/>
    </xf>
    <xf numFmtId="0" fontId="65" fillId="0" borderId="62" xfId="194" applyFont="1" applyBorder="1" applyAlignment="1">
      <alignment horizontal="left" vertical="center"/>
    </xf>
    <xf numFmtId="0" fontId="65" fillId="0" borderId="63" xfId="194" applyFont="1" applyBorder="1" applyAlignment="1">
      <alignment horizontal="left" vertical="center"/>
    </xf>
    <xf numFmtId="0" fontId="65" fillId="0" borderId="12" xfId="194" applyFont="1" applyBorder="1" applyAlignment="1">
      <alignment horizontal="left" vertical="center" wrapText="1"/>
    </xf>
    <xf numFmtId="0" fontId="65" fillId="0" borderId="13" xfId="194" applyFont="1" applyBorder="1" applyAlignment="1">
      <alignment horizontal="left" vertical="center" wrapText="1"/>
    </xf>
    <xf numFmtId="0" fontId="65" fillId="0" borderId="12" xfId="194" applyFont="1" applyBorder="1" applyAlignment="1">
      <alignment horizontal="center" vertical="center"/>
    </xf>
    <xf numFmtId="0" fontId="65" fillId="0" borderId="13" xfId="194" applyFont="1" applyBorder="1" applyAlignment="1">
      <alignment horizontal="center" vertical="center"/>
    </xf>
    <xf numFmtId="191" fontId="65" fillId="0" borderId="12" xfId="194" applyNumberFormat="1" applyFont="1" applyBorder="1" applyAlignment="1">
      <alignment horizontal="center" vertical="center"/>
    </xf>
    <xf numFmtId="191" fontId="65" fillId="0" borderId="13" xfId="194" applyNumberFormat="1" applyFont="1" applyBorder="1" applyAlignment="1">
      <alignment horizontal="center" vertical="center"/>
    </xf>
    <xf numFmtId="191" fontId="41" fillId="45" borderId="12" xfId="65" applyNumberFormat="1" applyFont="1" applyFill="1" applyBorder="1" applyAlignment="1">
      <alignment horizontal="center" vertical="center"/>
    </xf>
    <xf numFmtId="191" fontId="41" fillId="45" borderId="13" xfId="65" applyNumberFormat="1" applyFont="1" applyFill="1" applyBorder="1" applyAlignment="1">
      <alignment horizontal="center" vertical="center"/>
    </xf>
    <xf numFmtId="0" fontId="65" fillId="0" borderId="62" xfId="196" applyFont="1" applyBorder="1" applyAlignment="1">
      <alignment horizontal="left" vertical="center"/>
    </xf>
    <xf numFmtId="0" fontId="65" fillId="0" borderId="63" xfId="196" applyFont="1" applyBorder="1" applyAlignment="1">
      <alignment horizontal="left" vertical="center"/>
    </xf>
    <xf numFmtId="0" fontId="41" fillId="0" borderId="12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196" fontId="65" fillId="0" borderId="12" xfId="194" applyNumberFormat="1" applyFont="1" applyBorder="1" applyAlignment="1">
      <alignment horizontal="center" vertical="center"/>
    </xf>
    <xf numFmtId="196" fontId="65" fillId="0" borderId="13" xfId="194" applyNumberFormat="1" applyFont="1" applyBorder="1" applyAlignment="1">
      <alignment horizontal="center" vertical="center"/>
    </xf>
    <xf numFmtId="0" fontId="64" fillId="0" borderId="0" xfId="194" applyFont="1" applyAlignment="1">
      <alignment vertical="center"/>
    </xf>
    <xf numFmtId="0" fontId="65" fillId="0" borderId="0" xfId="194" applyFont="1" applyAlignment="1">
      <alignment vertical="center"/>
    </xf>
    <xf numFmtId="0" fontId="64" fillId="0" borderId="71" xfId="0" applyFont="1" applyBorder="1" applyAlignment="1">
      <alignment horizontal="left" vertical="center" wrapText="1"/>
    </xf>
    <xf numFmtId="192" fontId="21" fillId="0" borderId="12" xfId="0" applyNumberFormat="1" applyFont="1" applyBorder="1" applyAlignment="1">
      <alignment horizontal="center" vertical="center"/>
    </xf>
    <xf numFmtId="192" fontId="21" fillId="0" borderId="13" xfId="0" applyNumberFormat="1" applyFont="1" applyBorder="1" applyAlignment="1">
      <alignment horizontal="center" vertical="center"/>
    </xf>
    <xf numFmtId="193" fontId="21" fillId="0" borderId="12" xfId="0" applyNumberFormat="1" applyFont="1" applyBorder="1" applyAlignment="1">
      <alignment horizontal="center" vertical="center"/>
    </xf>
    <xf numFmtId="193" fontId="21" fillId="0" borderId="13" xfId="0" applyNumberFormat="1" applyFont="1" applyBorder="1" applyAlignment="1">
      <alignment horizontal="center" vertical="center"/>
    </xf>
    <xf numFmtId="0" fontId="41" fillId="0" borderId="62" xfId="65" applyFont="1" applyBorder="1" applyAlignment="1">
      <alignment horizontal="left" vertical="center"/>
    </xf>
    <xf numFmtId="0" fontId="41" fillId="0" borderId="63" xfId="65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86" fontId="41" fillId="0" borderId="12" xfId="65" applyNumberFormat="1" applyFont="1" applyFill="1" applyBorder="1" applyAlignment="1">
      <alignment horizontal="center" vertical="center"/>
    </xf>
    <xf numFmtId="186" fontId="41" fillId="0" borderId="13" xfId="65" applyNumberFormat="1" applyFont="1" applyFill="1" applyBorder="1" applyAlignment="1">
      <alignment horizontal="center" vertical="center"/>
    </xf>
    <xf numFmtId="0" fontId="41" fillId="0" borderId="12" xfId="65" applyFont="1" applyFill="1" applyBorder="1" applyAlignment="1">
      <alignment horizontal="left" vertical="center" wrapText="1"/>
    </xf>
    <xf numFmtId="0" fontId="41" fillId="0" borderId="13" xfId="65" applyFont="1" applyFill="1" applyBorder="1" applyAlignment="1">
      <alignment horizontal="left" vertical="center" wrapText="1"/>
    </xf>
    <xf numFmtId="0" fontId="41" fillId="0" borderId="12" xfId="65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 wrapText="1"/>
    </xf>
    <xf numFmtId="0" fontId="41" fillId="0" borderId="13" xfId="65" applyFont="1" applyBorder="1" applyAlignment="1">
      <alignment horizontal="center" vertical="center" wrapText="1"/>
    </xf>
    <xf numFmtId="191" fontId="41" fillId="0" borderId="12" xfId="65" applyNumberFormat="1" applyFont="1" applyFill="1" applyBorder="1" applyAlignment="1">
      <alignment horizontal="center" vertical="center"/>
    </xf>
    <xf numFmtId="191" fontId="41" fillId="0" borderId="13" xfId="65" applyNumberFormat="1" applyFont="1" applyFill="1" applyBorder="1" applyAlignment="1">
      <alignment horizontal="center" vertical="center"/>
    </xf>
    <xf numFmtId="0" fontId="41" fillId="0" borderId="62" xfId="65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40" fillId="0" borderId="71" xfId="65" applyFont="1" applyBorder="1" applyAlignment="1">
      <alignment horizontal="left" vertical="center" wrapText="1"/>
    </xf>
    <xf numFmtId="186" fontId="41" fillId="0" borderId="12" xfId="65" applyNumberFormat="1" applyFont="1" applyBorder="1" applyAlignment="1">
      <alignment horizontal="center" vertical="center"/>
    </xf>
    <xf numFmtId="186" fontId="41" fillId="0" borderId="13" xfId="65" applyNumberFormat="1" applyFont="1" applyBorder="1" applyAlignment="1">
      <alignment horizontal="center" vertical="center"/>
    </xf>
    <xf numFmtId="0" fontId="41" fillId="0" borderId="63" xfId="65" applyFont="1" applyBorder="1" applyAlignment="1">
      <alignment horizontal="left" vertical="center" wrapText="1"/>
    </xf>
    <xf numFmtId="191" fontId="41" fillId="0" borderId="12" xfId="65" applyNumberFormat="1" applyFont="1" applyBorder="1" applyAlignment="1">
      <alignment horizontal="center" vertical="center"/>
    </xf>
    <xf numFmtId="191" fontId="41" fillId="0" borderId="13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 wrapText="1"/>
    </xf>
    <xf numFmtId="0" fontId="41" fillId="0" borderId="61" xfId="65" applyFont="1" applyBorder="1" applyAlignment="1">
      <alignment horizontal="left" vertical="center" wrapText="1"/>
    </xf>
    <xf numFmtId="191" fontId="41" fillId="0" borderId="10" xfId="65" applyNumberFormat="1" applyFont="1" applyBorder="1" applyAlignment="1">
      <alignment horizontal="center" vertical="center"/>
    </xf>
    <xf numFmtId="196" fontId="41" fillId="0" borderId="12" xfId="65" applyNumberFormat="1" applyFont="1" applyBorder="1" applyAlignment="1">
      <alignment horizontal="center" vertical="center"/>
    </xf>
    <xf numFmtId="196" fontId="41" fillId="0" borderId="13" xfId="65" applyNumberFormat="1" applyFont="1" applyBorder="1" applyAlignment="1">
      <alignment horizontal="center" vertical="center"/>
    </xf>
    <xf numFmtId="191" fontId="41" fillId="0" borderId="10" xfId="65" applyNumberFormat="1" applyFont="1" applyFill="1" applyBorder="1" applyAlignment="1">
      <alignment horizontal="center" vertical="center"/>
    </xf>
    <xf numFmtId="0" fontId="41" fillId="45" borderId="12" xfId="65" applyFont="1" applyFill="1" applyBorder="1" applyAlignment="1">
      <alignment horizontal="left" vertical="center" wrapText="1"/>
    </xf>
    <xf numFmtId="0" fontId="41" fillId="45" borderId="13" xfId="65" applyFont="1" applyFill="1" applyBorder="1" applyAlignment="1">
      <alignment horizontal="left" vertical="center" wrapText="1"/>
    </xf>
    <xf numFmtId="0" fontId="64" fillId="37" borderId="71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/>
    </xf>
    <xf numFmtId="0" fontId="65" fillId="0" borderId="12" xfId="196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96" fontId="41" fillId="0" borderId="12" xfId="65" applyNumberFormat="1" applyFont="1" applyFill="1" applyBorder="1" applyAlignment="1">
      <alignment horizontal="center" vertical="center"/>
    </xf>
    <xf numFmtId="196" fontId="41" fillId="0" borderId="13" xfId="65" applyNumberFormat="1" applyFont="1" applyFill="1" applyBorder="1" applyAlignment="1">
      <alignment horizontal="center" vertical="center"/>
    </xf>
    <xf numFmtId="0" fontId="21" fillId="0" borderId="62" xfId="0" applyFont="1" applyBorder="1" applyAlignment="1">
      <alignment horizontal="left" vertical="center" wrapText="1"/>
    </xf>
    <xf numFmtId="0" fontId="21" fillId="0" borderId="63" xfId="0" applyFont="1" applyBorder="1" applyAlignment="1">
      <alignment horizontal="left" vertical="center" wrapText="1"/>
    </xf>
    <xf numFmtId="0" fontId="65" fillId="0" borderId="13" xfId="196" applyFont="1" applyBorder="1" applyAlignment="1">
      <alignment horizontal="left" vertical="center" wrapText="1"/>
    </xf>
    <xf numFmtId="0" fontId="40" fillId="0" borderId="71" xfId="65" applyFont="1" applyFill="1" applyBorder="1" applyAlignment="1">
      <alignment horizontal="left" vertical="center" wrapText="1"/>
    </xf>
    <xf numFmtId="0" fontId="41" fillId="0" borderId="19" xfId="65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1" fillId="0" borderId="12" xfId="65" applyFont="1" applyBorder="1" applyAlignment="1">
      <alignment horizontal="left" vertical="center"/>
    </xf>
    <xf numFmtId="0" fontId="41" fillId="0" borderId="13" xfId="65" applyFont="1" applyBorder="1" applyAlignment="1">
      <alignment horizontal="left" vertical="center"/>
    </xf>
    <xf numFmtId="4" fontId="41" fillId="0" borderId="12" xfId="65" applyNumberFormat="1" applyFont="1" applyBorder="1" applyAlignment="1">
      <alignment horizontal="center" vertical="center"/>
    </xf>
    <xf numFmtId="4" fontId="41" fillId="0" borderId="13" xfId="65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65" fillId="0" borderId="12" xfId="196" applyFont="1" applyBorder="1" applyAlignment="1">
      <alignment horizontal="center" vertical="center"/>
    </xf>
    <xf numFmtId="0" fontId="65" fillId="0" borderId="13" xfId="196" applyFont="1" applyBorder="1" applyAlignment="1">
      <alignment horizontal="center" vertical="center"/>
    </xf>
    <xf numFmtId="0" fontId="65" fillId="45" borderId="62" xfId="194" applyFont="1" applyFill="1" applyBorder="1" applyAlignment="1">
      <alignment horizontal="left" vertical="center"/>
    </xf>
    <xf numFmtId="0" fontId="65" fillId="45" borderId="63" xfId="194" applyFont="1" applyFill="1" applyBorder="1" applyAlignment="1">
      <alignment horizontal="left" vertical="center"/>
    </xf>
    <xf numFmtId="186" fontId="21" fillId="0" borderId="12" xfId="0" applyNumberFormat="1" applyFont="1" applyBorder="1" applyAlignment="1">
      <alignment horizontal="center" vertical="center"/>
    </xf>
    <xf numFmtId="186" fontId="21" fillId="0" borderId="13" xfId="0" applyNumberFormat="1" applyFont="1" applyBorder="1" applyAlignment="1">
      <alignment horizontal="center" vertical="center"/>
    </xf>
    <xf numFmtId="0" fontId="65" fillId="0" borderId="62" xfId="194" applyFont="1" applyBorder="1" applyAlignment="1">
      <alignment horizontal="left" vertical="center" wrapText="1"/>
    </xf>
    <xf numFmtId="0" fontId="65" fillId="0" borderId="19" xfId="196" applyFont="1" applyBorder="1" applyAlignment="1">
      <alignment horizontal="left" vertical="center"/>
    </xf>
    <xf numFmtId="0" fontId="64" fillId="0" borderId="0" xfId="194" applyFont="1"/>
    <xf numFmtId="0" fontId="65" fillId="0" borderId="0" xfId="194" applyFont="1"/>
    <xf numFmtId="193" fontId="21" fillId="0" borderId="12" xfId="0" applyNumberFormat="1" applyFont="1" applyBorder="1" applyAlignment="1">
      <alignment horizontal="center" vertical="center" wrapText="1"/>
    </xf>
    <xf numFmtId="193" fontId="0" fillId="0" borderId="13" xfId="0" applyNumberForma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65" fillId="0" borderId="12" xfId="19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6" fontId="65" fillId="0" borderId="12" xfId="194" applyNumberFormat="1" applyFont="1" applyBorder="1" applyAlignment="1">
      <alignment horizontal="center" vertical="center"/>
    </xf>
    <xf numFmtId="186" fontId="65" fillId="0" borderId="13" xfId="194" applyNumberFormat="1" applyFont="1" applyBorder="1" applyAlignment="1">
      <alignment horizontal="center" vertical="center"/>
    </xf>
    <xf numFmtId="193" fontId="65" fillId="0" borderId="12" xfId="194" applyNumberFormat="1" applyFont="1" applyBorder="1" applyAlignment="1">
      <alignment horizontal="center" vertical="center"/>
    </xf>
    <xf numFmtId="193" fontId="65" fillId="0" borderId="13" xfId="194" applyNumberFormat="1" applyFont="1" applyBorder="1" applyAlignment="1">
      <alignment horizontal="center" vertical="center"/>
    </xf>
    <xf numFmtId="0" fontId="64" fillId="0" borderId="71" xfId="0" applyFont="1" applyBorder="1" applyAlignment="1">
      <alignment horizontal="left" vertical="top" wrapText="1"/>
    </xf>
    <xf numFmtId="192" fontId="65" fillId="0" borderId="12" xfId="196" applyNumberFormat="1" applyFont="1" applyBorder="1" applyAlignment="1">
      <alignment horizontal="center" vertical="center"/>
    </xf>
    <xf numFmtId="192" fontId="65" fillId="0" borderId="13" xfId="196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65" fillId="45" borderId="12" xfId="194" applyFont="1" applyFill="1" applyBorder="1" applyAlignment="1">
      <alignment horizontal="left" vertical="center" wrapText="1"/>
    </xf>
    <xf numFmtId="0" fontId="65" fillId="45" borderId="13" xfId="194" applyFont="1" applyFill="1" applyBorder="1" applyAlignment="1">
      <alignment horizontal="left" vertical="center" wrapText="1"/>
    </xf>
    <xf numFmtId="0" fontId="64" fillId="0" borderId="71" xfId="196" applyFont="1" applyBorder="1" applyAlignment="1">
      <alignment horizontal="left" vertical="center" wrapText="1"/>
    </xf>
    <xf numFmtId="0" fontId="41" fillId="0" borderId="62" xfId="65" applyFont="1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2" fontId="41" fillId="0" borderId="12" xfId="65" applyNumberFormat="1" applyFont="1" applyBorder="1" applyAlignment="1">
      <alignment horizontal="center" vertical="center"/>
    </xf>
    <xf numFmtId="2" fontId="41" fillId="0" borderId="13" xfId="65" applyNumberFormat="1" applyFont="1" applyBorder="1" applyAlignment="1">
      <alignment horizontal="center" vertical="center"/>
    </xf>
    <xf numFmtId="193" fontId="41" fillId="0" borderId="12" xfId="65" applyNumberFormat="1" applyFont="1" applyBorder="1" applyAlignment="1">
      <alignment horizontal="center" vertical="center"/>
    </xf>
    <xf numFmtId="193" fontId="41" fillId="0" borderId="13" xfId="65" applyNumberFormat="1" applyFont="1" applyBorder="1" applyAlignment="1">
      <alignment horizontal="center" vertical="center"/>
    </xf>
    <xf numFmtId="193" fontId="21" fillId="0" borderId="35" xfId="0" applyNumberFormat="1" applyFont="1" applyBorder="1" applyAlignment="1">
      <alignment horizontal="center" vertical="center"/>
    </xf>
    <xf numFmtId="0" fontId="21" fillId="0" borderId="61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0" fontId="41" fillId="0" borderId="10" xfId="65" applyFont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6" fontId="41" fillId="0" borderId="10" xfId="65" applyNumberFormat="1" applyFont="1" applyBorder="1" applyAlignment="1">
      <alignment horizontal="center" vertical="center"/>
    </xf>
    <xf numFmtId="0" fontId="65" fillId="41" borderId="12" xfId="194" applyFont="1" applyFill="1" applyBorder="1" applyAlignment="1">
      <alignment horizontal="left" vertical="center" wrapText="1"/>
    </xf>
    <xf numFmtId="0" fontId="65" fillId="41" borderId="13" xfId="194" applyFont="1" applyFill="1" applyBorder="1" applyAlignment="1">
      <alignment horizontal="left" vertical="center" wrapText="1"/>
    </xf>
    <xf numFmtId="0" fontId="64" fillId="0" borderId="0" xfId="0" applyFont="1"/>
    <xf numFmtId="0" fontId="21" fillId="0" borderId="0" xfId="0" applyFont="1"/>
    <xf numFmtId="0" fontId="64" fillId="45" borderId="71" xfId="194" applyFont="1" applyFill="1" applyBorder="1" applyAlignment="1">
      <alignment horizontal="left" vertical="center" wrapText="1"/>
    </xf>
    <xf numFmtId="0" fontId="41" fillId="45" borderId="62" xfId="65" applyFont="1" applyFill="1" applyBorder="1" applyAlignment="1">
      <alignment horizontal="left" vertical="center" wrapText="1"/>
    </xf>
    <xf numFmtId="0" fontId="0" fillId="45" borderId="63" xfId="0" applyFill="1" applyBorder="1" applyAlignment="1">
      <alignment horizontal="left" vertical="center" wrapText="1"/>
    </xf>
    <xf numFmtId="4" fontId="41" fillId="37" borderId="0" xfId="0" applyNumberFormat="1" applyFont="1" applyFill="1" applyAlignment="1">
      <alignment horizontal="right" vertical="top" wrapText="1"/>
    </xf>
    <xf numFmtId="0" fontId="41" fillId="40" borderId="0" xfId="0" applyFont="1" applyFill="1" applyAlignment="1">
      <alignment horizontal="right" vertical="top" wrapText="1"/>
    </xf>
    <xf numFmtId="0" fontId="0" fillId="0" borderId="0" xfId="0"/>
    <xf numFmtId="0" fontId="64" fillId="0" borderId="0" xfId="194" applyFont="1" applyAlignment="1">
      <alignment wrapText="1"/>
    </xf>
    <xf numFmtId="4" fontId="0" fillId="37" borderId="0" xfId="0" applyNumberFormat="1" applyFill="1"/>
    <xf numFmtId="0" fontId="75" fillId="36" borderId="0" xfId="0" applyFont="1" applyFill="1"/>
    <xf numFmtId="0" fontId="1" fillId="36" borderId="0" xfId="0" applyFont="1" applyFill="1"/>
    <xf numFmtId="0" fontId="0" fillId="0" borderId="13" xfId="0" applyBorder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7" fillId="39" borderId="0" xfId="0" applyFont="1" applyFill="1"/>
    <xf numFmtId="0" fontId="64" fillId="0" borderId="0" xfId="196" applyFont="1"/>
    <xf numFmtId="0" fontId="65" fillId="0" borderId="0" xfId="196" applyFont="1"/>
    <xf numFmtId="0" fontId="65" fillId="37" borderId="62" xfId="73" applyFont="1" applyFill="1" applyBorder="1" applyAlignment="1">
      <alignment horizontal="left" vertical="center"/>
    </xf>
    <xf numFmtId="0" fontId="65" fillId="37" borderId="63" xfId="73" applyFont="1" applyFill="1" applyBorder="1" applyAlignment="1">
      <alignment horizontal="left" vertical="center"/>
    </xf>
    <xf numFmtId="0" fontId="65" fillId="37" borderId="12" xfId="73" applyFont="1" applyFill="1" applyBorder="1" applyAlignment="1">
      <alignment horizontal="left" vertical="center"/>
    </xf>
    <xf numFmtId="0" fontId="65" fillId="37" borderId="13" xfId="73" applyFont="1" applyFill="1" applyBorder="1" applyAlignment="1">
      <alignment horizontal="left" vertical="center"/>
    </xf>
    <xf numFmtId="0" fontId="65" fillId="37" borderId="12" xfId="73" applyFont="1" applyFill="1" applyBorder="1" applyAlignment="1">
      <alignment horizontal="center" vertical="center"/>
    </xf>
    <xf numFmtId="0" fontId="65" fillId="37" borderId="13" xfId="73" applyFont="1" applyFill="1" applyBorder="1" applyAlignment="1">
      <alignment horizontal="center" vertical="center"/>
    </xf>
    <xf numFmtId="193" fontId="65" fillId="37" borderId="12" xfId="73" applyNumberFormat="1" applyFont="1" applyFill="1" applyBorder="1" applyAlignment="1">
      <alignment horizontal="center" vertical="center"/>
    </xf>
    <xf numFmtId="193" fontId="65" fillId="37" borderId="13" xfId="73" applyNumberFormat="1" applyFont="1" applyFill="1" applyBorder="1" applyAlignment="1">
      <alignment horizontal="center" vertical="center"/>
    </xf>
    <xf numFmtId="193" fontId="65" fillId="0" borderId="12" xfId="196" applyNumberFormat="1" applyFont="1" applyBorder="1" applyAlignment="1">
      <alignment horizontal="center" vertical="center"/>
    </xf>
    <xf numFmtId="193" fontId="65" fillId="0" borderId="13" xfId="196" applyNumberFormat="1" applyFont="1" applyBorder="1" applyAlignment="1">
      <alignment horizontal="center" vertical="center"/>
    </xf>
    <xf numFmtId="0" fontId="65" fillId="37" borderId="12" xfId="73" applyFont="1" applyFill="1" applyBorder="1" applyAlignment="1">
      <alignment horizontal="left" vertical="center" wrapText="1"/>
    </xf>
    <xf numFmtId="0" fontId="65" fillId="37" borderId="13" xfId="73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191" fontId="41" fillId="45" borderId="10" xfId="65" applyNumberFormat="1" applyFont="1" applyFill="1" applyBorder="1" applyAlignment="1">
      <alignment horizontal="center" vertical="center"/>
    </xf>
    <xf numFmtId="0" fontId="41" fillId="0" borderId="10" xfId="65" applyFont="1" applyFill="1" applyBorder="1" applyAlignment="1">
      <alignment horizontal="center" vertical="center"/>
    </xf>
    <xf numFmtId="0" fontId="41" fillId="0" borderId="12" xfId="65" applyFont="1" applyFill="1" applyBorder="1" applyAlignment="1">
      <alignment horizontal="center" vertical="center" wrapText="1"/>
    </xf>
    <xf numFmtId="0" fontId="41" fillId="0" borderId="13" xfId="65" applyFont="1" applyFill="1" applyBorder="1" applyAlignment="1">
      <alignment horizontal="center" vertical="center" wrapText="1"/>
    </xf>
    <xf numFmtId="0" fontId="41" fillId="0" borderId="10" xfId="65" applyFont="1" applyFill="1" applyBorder="1" applyAlignment="1">
      <alignment horizontal="center" vertical="center" wrapText="1"/>
    </xf>
    <xf numFmtId="193" fontId="65" fillId="45" borderId="12" xfId="73" applyNumberFormat="1" applyFont="1" applyFill="1" applyBorder="1" applyAlignment="1">
      <alignment horizontal="center" vertical="center"/>
    </xf>
    <xf numFmtId="193" fontId="65" fillId="45" borderId="13" xfId="73" applyNumberFormat="1" applyFont="1" applyFill="1" applyBorder="1" applyAlignment="1">
      <alignment horizontal="center" vertical="center"/>
    </xf>
    <xf numFmtId="186" fontId="41" fillId="45" borderId="12" xfId="65" applyNumberFormat="1" applyFont="1" applyFill="1" applyBorder="1" applyAlignment="1">
      <alignment horizontal="center" vertical="center"/>
    </xf>
    <xf numFmtId="186" fontId="41" fillId="45" borderId="13" xfId="65" applyNumberFormat="1" applyFont="1" applyFill="1" applyBorder="1" applyAlignment="1">
      <alignment horizontal="center" vertical="center"/>
    </xf>
    <xf numFmtId="2" fontId="41" fillId="0" borderId="12" xfId="65" applyNumberFormat="1" applyFont="1" applyBorder="1" applyAlignment="1">
      <alignment horizontal="left" vertical="center" wrapText="1"/>
    </xf>
    <xf numFmtId="2" fontId="41" fillId="0" borderId="13" xfId="65" applyNumberFormat="1" applyFont="1" applyBorder="1" applyAlignment="1">
      <alignment horizontal="left" vertical="center" wrapText="1"/>
    </xf>
    <xf numFmtId="194" fontId="41" fillId="0" borderId="12" xfId="65" applyNumberFormat="1" applyFont="1" applyBorder="1" applyAlignment="1">
      <alignment horizontal="center" vertical="center"/>
    </xf>
    <xf numFmtId="194" fontId="41" fillId="0" borderId="13" xfId="65" applyNumberFormat="1" applyFont="1" applyBorder="1" applyAlignment="1">
      <alignment horizontal="center" vertical="center"/>
    </xf>
    <xf numFmtId="0" fontId="40" fillId="45" borderId="71" xfId="65" applyFont="1" applyFill="1" applyBorder="1" applyAlignment="1">
      <alignment horizontal="left" vertical="center" wrapText="1"/>
    </xf>
    <xf numFmtId="4" fontId="41" fillId="0" borderId="12" xfId="65" applyNumberFormat="1" applyFont="1" applyBorder="1" applyAlignment="1">
      <alignment horizontal="center" vertical="center" wrapText="1"/>
    </xf>
    <xf numFmtId="0" fontId="41" fillId="45" borderId="63" xfId="65" applyFont="1" applyFill="1" applyBorder="1" applyAlignment="1">
      <alignment horizontal="left" vertical="center" wrapText="1"/>
    </xf>
    <xf numFmtId="186" fontId="41" fillId="0" borderId="12" xfId="65" applyNumberFormat="1" applyFont="1" applyBorder="1" applyAlignment="1">
      <alignment horizontal="center" vertical="center" wrapText="1"/>
    </xf>
    <xf numFmtId="186" fontId="41" fillId="0" borderId="13" xfId="65" applyNumberFormat="1" applyFont="1" applyBorder="1" applyAlignment="1">
      <alignment horizontal="center" vertical="center" wrapText="1"/>
    </xf>
    <xf numFmtId="193" fontId="41" fillId="0" borderId="12" xfId="65" applyNumberFormat="1" applyFont="1" applyBorder="1" applyAlignment="1">
      <alignment horizontal="center" vertical="center" wrapText="1"/>
    </xf>
    <xf numFmtId="193" fontId="41" fillId="0" borderId="13" xfId="65" applyNumberFormat="1" applyFont="1" applyBorder="1" applyAlignment="1">
      <alignment horizontal="center" vertical="center" wrapText="1"/>
    </xf>
    <xf numFmtId="0" fontId="40" fillId="0" borderId="0" xfId="65" applyFont="1" applyAlignment="1">
      <alignment horizontal="left" vertical="center" wrapText="1"/>
    </xf>
    <xf numFmtId="0" fontId="40" fillId="45" borderId="0" xfId="65" applyFont="1" applyFill="1" applyAlignment="1">
      <alignment horizontal="left" vertical="center" wrapText="1"/>
    </xf>
    <xf numFmtId="0" fontId="42" fillId="0" borderId="42" xfId="151" applyFont="1" applyBorder="1" applyAlignment="1">
      <alignment horizontal="center" vertical="center" wrapText="1"/>
    </xf>
    <xf numFmtId="0" fontId="42" fillId="0" borderId="15" xfId="151" applyFont="1" applyBorder="1" applyAlignment="1">
      <alignment horizontal="center" vertical="center" wrapText="1"/>
    </xf>
    <xf numFmtId="0" fontId="42" fillId="0" borderId="43" xfId="151" applyFont="1" applyBorder="1" applyAlignment="1">
      <alignment horizontal="center" vertical="center" wrapText="1"/>
    </xf>
    <xf numFmtId="0" fontId="42" fillId="0" borderId="16" xfId="151" applyFont="1" applyBorder="1" applyAlignment="1">
      <alignment horizontal="center" vertical="center"/>
    </xf>
    <xf numFmtId="0" fontId="42" fillId="0" borderId="17" xfId="151" applyFont="1" applyBorder="1" applyAlignment="1">
      <alignment horizontal="center" vertical="center"/>
    </xf>
    <xf numFmtId="0" fontId="42" fillId="0" borderId="44" xfId="151" applyFont="1" applyBorder="1" applyAlignment="1">
      <alignment horizontal="center" vertical="center"/>
    </xf>
    <xf numFmtId="4" fontId="40" fillId="0" borderId="39" xfId="151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1" fillId="0" borderId="38" xfId="151" applyFont="1" applyBorder="1" applyAlignment="1">
      <alignment horizontal="center" vertical="center"/>
    </xf>
    <xf numFmtId="0" fontId="41" fillId="0" borderId="41" xfId="151" applyFont="1" applyBorder="1" applyAlignment="1">
      <alignment horizontal="center" vertical="center"/>
    </xf>
    <xf numFmtId="0" fontId="82" fillId="0" borderId="38" xfId="151" applyFont="1" applyBorder="1" applyAlignment="1">
      <alignment horizontal="center" vertical="center" wrapText="1"/>
    </xf>
    <xf numFmtId="0" fontId="82" fillId="0" borderId="41" xfId="151" applyFont="1" applyBorder="1" applyAlignment="1">
      <alignment horizontal="center" vertical="center" wrapText="1"/>
    </xf>
    <xf numFmtId="0" fontId="43" fillId="0" borderId="47" xfId="151" applyFont="1" applyBorder="1" applyAlignment="1">
      <alignment horizontal="center" vertical="center" wrapText="1"/>
    </xf>
    <xf numFmtId="0" fontId="43" fillId="0" borderId="48" xfId="151" applyFont="1" applyBorder="1" applyAlignment="1">
      <alignment horizontal="center" vertical="center" wrapText="1"/>
    </xf>
    <xf numFmtId="0" fontId="43" fillId="0" borderId="49" xfId="151" applyFont="1" applyBorder="1" applyAlignment="1">
      <alignment horizontal="center" vertical="center" wrapText="1"/>
    </xf>
    <xf numFmtId="0" fontId="43" fillId="0" borderId="50" xfId="151" applyFont="1" applyBorder="1" applyAlignment="1">
      <alignment horizontal="center" vertical="center" wrapText="1"/>
    </xf>
    <xf numFmtId="4" fontId="41" fillId="0" borderId="39" xfId="151" applyNumberFormat="1" applyFont="1" applyBorder="1" applyAlignment="1">
      <alignment horizontal="center" vertical="center" wrapText="1"/>
    </xf>
    <xf numFmtId="174" fontId="41" fillId="0" borderId="38" xfId="151" applyNumberFormat="1" applyFont="1" applyBorder="1" applyAlignment="1">
      <alignment horizontal="center" vertical="center" wrapText="1"/>
    </xf>
    <xf numFmtId="3" fontId="1" fillId="36" borderId="42" xfId="63" applyNumberFormat="1" applyFont="1" applyFill="1" applyBorder="1" applyAlignment="1">
      <alignment horizontal="center" vertical="top"/>
    </xf>
    <xf numFmtId="3" fontId="1" fillId="36" borderId="48" xfId="63" applyNumberFormat="1" applyFont="1" applyFill="1" applyBorder="1" applyAlignment="1">
      <alignment horizontal="center" vertical="top"/>
    </xf>
    <xf numFmtId="4" fontId="1" fillId="36" borderId="16" xfId="63" applyNumberFormat="1" applyFont="1" applyFill="1" applyBorder="1" applyAlignment="1">
      <alignment horizontal="center" vertical="top"/>
    </xf>
    <xf numFmtId="4" fontId="1" fillId="36" borderId="50" xfId="63" applyNumberFormat="1" applyFont="1" applyFill="1" applyBorder="1" applyAlignment="1">
      <alignment horizontal="center" vertical="top"/>
    </xf>
  </cellXfs>
  <cellStyles count="197">
    <cellStyle name="12" xfId="49" xr:uid="{00000000-0005-0000-0000-000000000000}"/>
    <cellStyle name="12 2" xfId="50" xr:uid="{00000000-0005-0000-0000-000001000000}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ABEÇALHO" xfId="153" xr:uid="{00000000-0005-0000-0000-000015000000}"/>
    <cellStyle name="Cabeçalho 1" xfId="154" xr:uid="{00000000-0005-0000-0000-000016000000}"/>
    <cellStyle name="Cabeçalho 2" xfId="155" xr:uid="{00000000-0005-0000-0000-000017000000}"/>
    <cellStyle name="Cálculo" xfId="11" builtinId="22" customBuiltin="1"/>
    <cellStyle name="Célula de Verificação" xfId="13" builtinId="23" customBuiltin="1"/>
    <cellStyle name="Célula Vinculada" xfId="12" builtinId="24" customBuiltin="1"/>
    <cellStyle name="Comma" xfId="156" xr:uid="{00000000-0005-0000-0000-00001B000000}"/>
    <cellStyle name="Comma0" xfId="157" xr:uid="{00000000-0005-0000-0000-00001C000000}"/>
    <cellStyle name="Currency" xfId="158" xr:uid="{00000000-0005-0000-0000-00001D000000}"/>
    <cellStyle name="Currency0" xfId="159" xr:uid="{00000000-0005-0000-0000-00001E000000}"/>
    <cellStyle name="Data" xfId="160" xr:uid="{00000000-0005-0000-0000-00001F000000}"/>
    <cellStyle name="Date" xfId="161" xr:uid="{00000000-0005-0000-0000-000020000000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stilo 1" xfId="51" xr:uid="{00000000-0005-0000-0000-000028000000}"/>
    <cellStyle name="Euro" xfId="52" xr:uid="{00000000-0005-0000-0000-000029000000}"/>
    <cellStyle name="Euro 2" xfId="53" xr:uid="{00000000-0005-0000-0000-00002A000000}"/>
    <cellStyle name="Fixed" xfId="162" xr:uid="{00000000-0005-0000-0000-00002B000000}"/>
    <cellStyle name="Fixo" xfId="163" xr:uid="{00000000-0005-0000-0000-00002C000000}"/>
    <cellStyle name="Heading 1" xfId="164" xr:uid="{00000000-0005-0000-0000-00002D000000}"/>
    <cellStyle name="Heading 2" xfId="165" xr:uid="{00000000-0005-0000-0000-00002E000000}"/>
    <cellStyle name="Hyperlink 2" xfId="166" xr:uid="{00000000-0005-0000-0000-000030000000}"/>
    <cellStyle name="Indefinido" xfId="54" xr:uid="{00000000-0005-0000-0000-000032000000}"/>
    <cellStyle name="Moeda 2" xfId="55" xr:uid="{00000000-0005-0000-0000-000033000000}"/>
    <cellStyle name="Moeda 2 2" xfId="56" xr:uid="{00000000-0005-0000-0000-000034000000}"/>
    <cellStyle name="Moeda 3" xfId="57" xr:uid="{00000000-0005-0000-0000-000035000000}"/>
    <cellStyle name="Moeda 3 2" xfId="58" xr:uid="{00000000-0005-0000-0000-000036000000}"/>
    <cellStyle name="Moeda 4" xfId="59" xr:uid="{00000000-0005-0000-0000-000037000000}"/>
    <cellStyle name="Moeda 4 2" xfId="60" xr:uid="{00000000-0005-0000-0000-000038000000}"/>
    <cellStyle name="Moeda 5" xfId="61" xr:uid="{00000000-0005-0000-0000-000039000000}"/>
    <cellStyle name="Moeda 5 2" xfId="62" xr:uid="{00000000-0005-0000-0000-00003A000000}"/>
    <cellStyle name="Moeda0" xfId="167" xr:uid="{00000000-0005-0000-0000-00003B000000}"/>
    <cellStyle name="Moneda [0]_Caixa_exterior" xfId="168" xr:uid="{00000000-0005-0000-0000-00003C000000}"/>
    <cellStyle name="Moneda_Caixa_exterior" xfId="169" xr:uid="{00000000-0005-0000-0000-00003D000000}"/>
    <cellStyle name="Neutro" xfId="8" builtinId="28" customBuiltin="1"/>
    <cellStyle name="Normal" xfId="0" builtinId="0"/>
    <cellStyle name="Normal 10" xfId="63" xr:uid="{00000000-0005-0000-0000-000040000000}"/>
    <cellStyle name="Normal 11" xfId="170" xr:uid="{00000000-0005-0000-0000-000041000000}"/>
    <cellStyle name="Normal 12" xfId="194" xr:uid="{00000000-0005-0000-0000-000042000000}"/>
    <cellStyle name="Normal 13" xfId="47" xr:uid="{00000000-0005-0000-0000-000043000000}"/>
    <cellStyle name="Normal 13 2" xfId="64" xr:uid="{00000000-0005-0000-0000-000044000000}"/>
    <cellStyle name="Normal 14" xfId="195" xr:uid="{00000000-0005-0000-0000-000045000000}"/>
    <cellStyle name="Normal 15" xfId="196" xr:uid="{00000000-0005-0000-0000-000046000000}"/>
    <cellStyle name="Normal 2" xfId="44" xr:uid="{00000000-0005-0000-0000-000047000000}"/>
    <cellStyle name="Normal 2 2" xfId="65" xr:uid="{00000000-0005-0000-0000-000048000000}"/>
    <cellStyle name="Normal 2 2 2" xfId="66" xr:uid="{00000000-0005-0000-0000-000049000000}"/>
    <cellStyle name="Normal 2 3" xfId="67" xr:uid="{00000000-0005-0000-0000-00004A000000}"/>
    <cellStyle name="Normal 2 4" xfId="68" xr:uid="{00000000-0005-0000-0000-00004B000000}"/>
    <cellStyle name="Normal 2 5" xfId="151" xr:uid="{00000000-0005-0000-0000-00004C000000}"/>
    <cellStyle name="Normal 3" xfId="69" xr:uid="{00000000-0005-0000-0000-00004D000000}"/>
    <cellStyle name="Normal 3 2" xfId="70" xr:uid="{00000000-0005-0000-0000-00004E000000}"/>
    <cellStyle name="Normal 3 2 2" xfId="171" xr:uid="{00000000-0005-0000-0000-00004F000000}"/>
    <cellStyle name="Normal 3 3" xfId="71" xr:uid="{00000000-0005-0000-0000-000050000000}"/>
    <cellStyle name="Normal 3 4" xfId="72" xr:uid="{00000000-0005-0000-0000-000051000000}"/>
    <cellStyle name="Normal 3 5" xfId="172" xr:uid="{00000000-0005-0000-0000-000052000000}"/>
    <cellStyle name="Normal 4" xfId="73" xr:uid="{00000000-0005-0000-0000-000053000000}"/>
    <cellStyle name="Normal 4 2" xfId="74" xr:uid="{00000000-0005-0000-0000-000054000000}"/>
    <cellStyle name="Normal 4 3" xfId="75" xr:uid="{00000000-0005-0000-0000-000055000000}"/>
    <cellStyle name="Normal 5" xfId="76" xr:uid="{00000000-0005-0000-0000-000056000000}"/>
    <cellStyle name="Normal 5 2" xfId="77" xr:uid="{00000000-0005-0000-0000-000057000000}"/>
    <cellStyle name="Normal 6" xfId="46" xr:uid="{00000000-0005-0000-0000-000058000000}"/>
    <cellStyle name="Normal 6 2" xfId="48" xr:uid="{00000000-0005-0000-0000-000059000000}"/>
    <cellStyle name="Normal 7" xfId="78" xr:uid="{00000000-0005-0000-0000-00005A000000}"/>
    <cellStyle name="Normal 7 2" xfId="173" xr:uid="{00000000-0005-0000-0000-00005B000000}"/>
    <cellStyle name="Normal 8" xfId="79" xr:uid="{00000000-0005-0000-0000-00005C000000}"/>
    <cellStyle name="Normal 8 2" xfId="174" xr:uid="{00000000-0005-0000-0000-00005D000000}"/>
    <cellStyle name="Normal 9" xfId="148" xr:uid="{00000000-0005-0000-0000-00005E000000}"/>
    <cellStyle name="Nota" xfId="15" builtinId="10" customBuiltin="1"/>
    <cellStyle name="Nota 2" xfId="80" xr:uid="{00000000-0005-0000-0000-000060000000}"/>
    <cellStyle name="Percent" xfId="175" xr:uid="{00000000-0005-0000-0000-000061000000}"/>
    <cellStyle name="Percentual" xfId="176" xr:uid="{00000000-0005-0000-0000-000062000000}"/>
    <cellStyle name="Ponto" xfId="177" xr:uid="{00000000-0005-0000-0000-000063000000}"/>
    <cellStyle name="Porcentagem" xfId="147" builtinId="5"/>
    <cellStyle name="Porcentagem 2" xfId="81" xr:uid="{00000000-0005-0000-0000-000065000000}"/>
    <cellStyle name="Porcentagem 2 2" xfId="82" xr:uid="{00000000-0005-0000-0000-000066000000}"/>
    <cellStyle name="Porcentagem 2 2 2" xfId="178" xr:uid="{00000000-0005-0000-0000-000067000000}"/>
    <cellStyle name="Porcentagem 2 3" xfId="83" xr:uid="{00000000-0005-0000-0000-000068000000}"/>
    <cellStyle name="Porcentagem 2 4" xfId="179" xr:uid="{00000000-0005-0000-0000-000069000000}"/>
    <cellStyle name="Porcentagem 3" xfId="84" xr:uid="{00000000-0005-0000-0000-00006A000000}"/>
    <cellStyle name="Porcentagem 3 2" xfId="180" xr:uid="{00000000-0005-0000-0000-00006B000000}"/>
    <cellStyle name="Porcentagem 3 3" xfId="181" xr:uid="{00000000-0005-0000-0000-00006C000000}"/>
    <cellStyle name="Porcentagem 3 4" xfId="182" xr:uid="{00000000-0005-0000-0000-00006D000000}"/>
    <cellStyle name="Porcentagem 4" xfId="85" xr:uid="{00000000-0005-0000-0000-00006E000000}"/>
    <cellStyle name="Porcentagem 4 2" xfId="86" xr:uid="{00000000-0005-0000-0000-00006F000000}"/>
    <cellStyle name="Porcentagem 5" xfId="87" xr:uid="{00000000-0005-0000-0000-000070000000}"/>
    <cellStyle name="Ruim" xfId="7" builtinId="27" customBuiltin="1"/>
    <cellStyle name="Saída" xfId="10" builtinId="21" customBuiltin="1"/>
    <cellStyle name="Sep. milhar [0]" xfId="183" xr:uid="{00000000-0005-0000-0000-000072000000}"/>
    <cellStyle name="Separador de m" xfId="184" xr:uid="{00000000-0005-0000-0000-000073000000}"/>
    <cellStyle name="Separador de milhares 10" xfId="88" xr:uid="{00000000-0005-0000-0000-000075000000}"/>
    <cellStyle name="Separador de milhares 11" xfId="89" xr:uid="{00000000-0005-0000-0000-000076000000}"/>
    <cellStyle name="Separador de milhares 12" xfId="90" xr:uid="{00000000-0005-0000-0000-000077000000}"/>
    <cellStyle name="Separador de milhares 13" xfId="91" xr:uid="{00000000-0005-0000-0000-000078000000}"/>
    <cellStyle name="Separador de milhares 14" xfId="92" xr:uid="{00000000-0005-0000-0000-000079000000}"/>
    <cellStyle name="Separador de milhares 14 2" xfId="93" xr:uid="{00000000-0005-0000-0000-00007A000000}"/>
    <cellStyle name="Separador de milhares 15" xfId="94" xr:uid="{00000000-0005-0000-0000-00007B000000}"/>
    <cellStyle name="Separador de milhares 15 2" xfId="95" xr:uid="{00000000-0005-0000-0000-00007C000000}"/>
    <cellStyle name="Separador de milhares 15 3" xfId="96" xr:uid="{00000000-0005-0000-0000-00007D000000}"/>
    <cellStyle name="Separador de milhares 16" xfId="97" xr:uid="{00000000-0005-0000-0000-00007E000000}"/>
    <cellStyle name="Separador de milhares 17" xfId="98" xr:uid="{00000000-0005-0000-0000-00007F000000}"/>
    <cellStyle name="Separador de milhares 18" xfId="99" xr:uid="{00000000-0005-0000-0000-000080000000}"/>
    <cellStyle name="Separador de milhares 19" xfId="100" xr:uid="{00000000-0005-0000-0000-000081000000}"/>
    <cellStyle name="Separador de milhares 2" xfId="101" xr:uid="{00000000-0005-0000-0000-000082000000}"/>
    <cellStyle name="Separador de milhares 2 2" xfId="102" xr:uid="{00000000-0005-0000-0000-000083000000}"/>
    <cellStyle name="Separador de milhares 2 2 2" xfId="185" xr:uid="{00000000-0005-0000-0000-000084000000}"/>
    <cellStyle name="Separador de milhares 2 2 3" xfId="186" xr:uid="{00000000-0005-0000-0000-000085000000}"/>
    <cellStyle name="Separador de milhares 2 3" xfId="103" xr:uid="{00000000-0005-0000-0000-000086000000}"/>
    <cellStyle name="Separador de milhares 2 4" xfId="187" xr:uid="{00000000-0005-0000-0000-000087000000}"/>
    <cellStyle name="Separador de milhares 20" xfId="104" xr:uid="{00000000-0005-0000-0000-000088000000}"/>
    <cellStyle name="Separador de milhares 21" xfId="105" xr:uid="{00000000-0005-0000-0000-000089000000}"/>
    <cellStyle name="Separador de milhares 22" xfId="106" xr:uid="{00000000-0005-0000-0000-00008A000000}"/>
    <cellStyle name="Separador de milhares 23" xfId="107" xr:uid="{00000000-0005-0000-0000-00008B000000}"/>
    <cellStyle name="Separador de milhares 23 2" xfId="149" xr:uid="{00000000-0005-0000-0000-00008C000000}"/>
    <cellStyle name="Separador de milhares 24" xfId="150" xr:uid="{00000000-0005-0000-0000-00008D000000}"/>
    <cellStyle name="Separador de milhares 25" xfId="152" xr:uid="{00000000-0005-0000-0000-00008E000000}"/>
    <cellStyle name="Separador de milhares 3" xfId="108" xr:uid="{00000000-0005-0000-0000-00008F000000}"/>
    <cellStyle name="Separador de milhares 3 2" xfId="109" xr:uid="{00000000-0005-0000-0000-000090000000}"/>
    <cellStyle name="Separador de milhares 3 2 2" xfId="110" xr:uid="{00000000-0005-0000-0000-000091000000}"/>
    <cellStyle name="Separador de milhares 3 3" xfId="111" xr:uid="{00000000-0005-0000-0000-000092000000}"/>
    <cellStyle name="Separador de milhares 3 3 2" xfId="112" xr:uid="{00000000-0005-0000-0000-000093000000}"/>
    <cellStyle name="Separador de milhares 3 4" xfId="113" xr:uid="{00000000-0005-0000-0000-000094000000}"/>
    <cellStyle name="Separador de milhares 4" xfId="114" xr:uid="{00000000-0005-0000-0000-000095000000}"/>
    <cellStyle name="Separador de milhares 4 2" xfId="115" xr:uid="{00000000-0005-0000-0000-000096000000}"/>
    <cellStyle name="Separador de milhares 4 2 2" xfId="188" xr:uid="{00000000-0005-0000-0000-000097000000}"/>
    <cellStyle name="Separador de milhares 4 3" xfId="116" xr:uid="{00000000-0005-0000-0000-000098000000}"/>
    <cellStyle name="Separador de milhares 5" xfId="117" xr:uid="{00000000-0005-0000-0000-000099000000}"/>
    <cellStyle name="Separador de milhares 5 2" xfId="118" xr:uid="{00000000-0005-0000-0000-00009A000000}"/>
    <cellStyle name="Separador de milhares 5 3" xfId="193" xr:uid="{00000000-0005-0000-0000-00009B000000}"/>
    <cellStyle name="Separador de milhares 6" xfId="119" xr:uid="{00000000-0005-0000-0000-00009C000000}"/>
    <cellStyle name="Separador de milhares 6 2" xfId="120" xr:uid="{00000000-0005-0000-0000-00009D000000}"/>
    <cellStyle name="Separador de milhares 6 3" xfId="121" xr:uid="{00000000-0005-0000-0000-00009E000000}"/>
    <cellStyle name="Separador de milhares 7" xfId="122" xr:uid="{00000000-0005-0000-0000-00009F000000}"/>
    <cellStyle name="Separador de milhares 7 2" xfId="123" xr:uid="{00000000-0005-0000-0000-0000A0000000}"/>
    <cellStyle name="Separador de milhares 8" xfId="124" xr:uid="{00000000-0005-0000-0000-0000A1000000}"/>
    <cellStyle name="Separador de milhares 9" xfId="125" xr:uid="{00000000-0005-0000-0000-0000A2000000}"/>
    <cellStyle name="SUMA PARCIAL" xfId="189" xr:uid="{00000000-0005-0000-0000-0000A3000000}"/>
    <cellStyle name="Texto de Aviso" xfId="14" builtinId="11" customBuiltin="1"/>
    <cellStyle name="Texto Explicativo" xfId="16" builtinId="53" customBuiltin="1"/>
    <cellStyle name="Título" xfId="1" builtinId="15" customBuiltin="1"/>
    <cellStyle name="Titulo 1" xfId="126" xr:uid="{00000000-0005-0000-0000-0000A7000000}"/>
    <cellStyle name="Título 1" xfId="2" builtinId="16" customBuiltin="1"/>
    <cellStyle name="Título 1 1" xfId="127" xr:uid="{00000000-0005-0000-0000-0000A9000000}"/>
    <cellStyle name="Titulo 1 2" xfId="128" xr:uid="{00000000-0005-0000-0000-0000AA000000}"/>
    <cellStyle name="Titulo 2" xfId="129" xr:uid="{00000000-0005-0000-0000-0000AB000000}"/>
    <cellStyle name="Título 2" xfId="3" builtinId="17" customBuiltin="1"/>
    <cellStyle name="Titulo 2 2" xfId="130" xr:uid="{00000000-0005-0000-0000-0000AD000000}"/>
    <cellStyle name="Título 3" xfId="4" builtinId="18" customBuiltin="1"/>
    <cellStyle name="Título 4" xfId="5" builtinId="19" customBuiltin="1"/>
    <cellStyle name="Titulo1" xfId="131" xr:uid="{00000000-0005-0000-0000-0000B0000000}"/>
    <cellStyle name="Titulo2" xfId="190" xr:uid="{00000000-0005-0000-0000-0000B1000000}"/>
    <cellStyle name="Total" xfId="17" builtinId="25" customBuiltin="1"/>
    <cellStyle name="un" xfId="132" xr:uid="{00000000-0005-0000-0000-0000B3000000}"/>
    <cellStyle name="Vírgula" xfId="43" builtinId="3"/>
    <cellStyle name="Vírgula 2" xfId="42" xr:uid="{00000000-0005-0000-0000-0000B4000000}"/>
    <cellStyle name="Vírgula 2 2" xfId="133" xr:uid="{00000000-0005-0000-0000-0000B5000000}"/>
    <cellStyle name="Vírgula 2 2 2" xfId="134" xr:uid="{00000000-0005-0000-0000-0000B6000000}"/>
    <cellStyle name="Vírgula 2 3" xfId="135" xr:uid="{00000000-0005-0000-0000-0000B7000000}"/>
    <cellStyle name="Vírgula 2 3 2" xfId="136" xr:uid="{00000000-0005-0000-0000-0000B8000000}"/>
    <cellStyle name="Vírgula 2 4" xfId="137" xr:uid="{00000000-0005-0000-0000-0000B9000000}"/>
    <cellStyle name="Vírgula 2 4 2" xfId="138" xr:uid="{00000000-0005-0000-0000-0000BA000000}"/>
    <cellStyle name="Vírgula 2 5" xfId="139" xr:uid="{00000000-0005-0000-0000-0000BB000000}"/>
    <cellStyle name="Vírgula 3" xfId="45" xr:uid="{00000000-0005-0000-0000-0000BC000000}"/>
    <cellStyle name="Vírgula 4" xfId="140" xr:uid="{00000000-0005-0000-0000-0000BD000000}"/>
    <cellStyle name="Vírgula 4 2" xfId="141" xr:uid="{00000000-0005-0000-0000-0000BE000000}"/>
    <cellStyle name="Vírgula 5" xfId="142" xr:uid="{00000000-0005-0000-0000-0000BF000000}"/>
    <cellStyle name="Vírgula 5 2" xfId="143" xr:uid="{00000000-0005-0000-0000-0000C0000000}"/>
    <cellStyle name="Vírgula 6" xfId="144" xr:uid="{00000000-0005-0000-0000-0000C1000000}"/>
    <cellStyle name="Vírgula 6 2" xfId="145" xr:uid="{00000000-0005-0000-0000-0000C2000000}"/>
    <cellStyle name="Vírgula 7" xfId="146" xr:uid="{00000000-0005-0000-0000-0000C3000000}"/>
    <cellStyle name="Vírgula0" xfId="191" xr:uid="{00000000-0005-0000-0000-0000C4000000}"/>
    <cellStyle name="Währung" xfId="192" xr:uid="{00000000-0005-0000-0000-0000C5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185162</xdr:colOff>
      <xdr:row>1</xdr:row>
      <xdr:rowOff>1184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890" b="-8265"/>
        <a:stretch/>
      </xdr:blipFill>
      <xdr:spPr>
        <a:xfrm>
          <a:off x="66675" y="47625"/>
          <a:ext cx="909062" cy="458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413893</xdr:colOff>
      <xdr:row>0</xdr:row>
      <xdr:rowOff>258033</xdr:rowOff>
    </xdr:from>
    <xdr:to>
      <xdr:col>1</xdr:col>
      <xdr:colOff>790575</xdr:colOff>
      <xdr:row>1</xdr:row>
      <xdr:rowOff>228600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890" b="-8265"/>
        <a:stretch/>
      </xdr:blipFill>
      <xdr:spPr>
        <a:xfrm>
          <a:off x="1023493" y="258033"/>
          <a:ext cx="910082" cy="465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0</xdr:col>
      <xdr:colOff>269367</xdr:colOff>
      <xdr:row>1</xdr:row>
      <xdr:rowOff>2286</xdr:rowOff>
    </xdr:to>
    <xdr:pic>
      <xdr:nvPicPr>
        <xdr:cNvPr id="3" name="Picture 26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5300"/>
          <a:ext cx="136017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</xdr:row>
      <xdr:rowOff>0</xdr:rowOff>
    </xdr:from>
    <xdr:to>
      <xdr:col>1</xdr:col>
      <xdr:colOff>228981</xdr:colOff>
      <xdr:row>1</xdr:row>
      <xdr:rowOff>1143</xdr:rowOff>
    </xdr:to>
    <xdr:pic>
      <xdr:nvPicPr>
        <xdr:cNvPr id="4" name="Picture 26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495300"/>
          <a:ext cx="590931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</xdr:row>
      <xdr:rowOff>0</xdr:rowOff>
    </xdr:from>
    <xdr:to>
      <xdr:col>0</xdr:col>
      <xdr:colOff>269367</xdr:colOff>
      <xdr:row>7</xdr:row>
      <xdr:rowOff>2286</xdr:rowOff>
    </xdr:to>
    <xdr:pic>
      <xdr:nvPicPr>
        <xdr:cNvPr id="5" name="Picture 26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62100"/>
          <a:ext cx="136017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7</xdr:row>
      <xdr:rowOff>0</xdr:rowOff>
    </xdr:from>
    <xdr:to>
      <xdr:col>1</xdr:col>
      <xdr:colOff>228981</xdr:colOff>
      <xdr:row>7</xdr:row>
      <xdr:rowOff>1143</xdr:rowOff>
    </xdr:to>
    <xdr:pic>
      <xdr:nvPicPr>
        <xdr:cNvPr id="6" name="Picture 26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1562100"/>
          <a:ext cx="590931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148160</xdr:colOff>
      <xdr:row>0</xdr:row>
      <xdr:rowOff>84665</xdr:rowOff>
    </xdr:from>
    <xdr:to>
      <xdr:col>1</xdr:col>
      <xdr:colOff>338659</xdr:colOff>
      <xdr:row>0</xdr:row>
      <xdr:rowOff>523457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0" y="84665"/>
          <a:ext cx="867832" cy="438792"/>
        </a:xfrm>
        <a:prstGeom prst="rect">
          <a:avLst/>
        </a:prstGeom>
      </xdr:spPr>
    </xdr:pic>
    <xdr:clientData/>
  </xdr:twoCellAnchor>
  <xdr:oneCellAnchor>
    <xdr:from>
      <xdr:col>0</xdr:col>
      <xdr:colOff>133350</xdr:colOff>
      <xdr:row>24</xdr:row>
      <xdr:rowOff>0</xdr:rowOff>
    </xdr:from>
    <xdr:ext cx="136017" cy="2286"/>
    <xdr:pic>
      <xdr:nvPicPr>
        <xdr:cNvPr id="8" name="Picture 26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72167"/>
          <a:ext cx="136017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314325</xdr:colOff>
      <xdr:row>24</xdr:row>
      <xdr:rowOff>0</xdr:rowOff>
    </xdr:from>
    <xdr:ext cx="591989" cy="1143"/>
    <xdr:pic>
      <xdr:nvPicPr>
        <xdr:cNvPr id="9" name="Picture 26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1672167"/>
          <a:ext cx="591989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133350</xdr:colOff>
      <xdr:row>31</xdr:row>
      <xdr:rowOff>0</xdr:rowOff>
    </xdr:from>
    <xdr:ext cx="136017" cy="2286"/>
    <xdr:pic>
      <xdr:nvPicPr>
        <xdr:cNvPr id="10" name="Picture 26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66833"/>
          <a:ext cx="136017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314325</xdr:colOff>
      <xdr:row>31</xdr:row>
      <xdr:rowOff>0</xdr:rowOff>
    </xdr:from>
    <xdr:ext cx="591989" cy="1143"/>
    <xdr:pic>
      <xdr:nvPicPr>
        <xdr:cNvPr id="11" name="Picture 26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5566833"/>
          <a:ext cx="591989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001\c\Meus%20documentos\Excel\DVOP\8_97%20-%20S&#227;o%20Vicente\Prod.%20Equip.%20Mec.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ARQ\projeto\WINDOWS\Temporary%20Internet%20Files\Content.IE5\Q9YZIJ83\file:\A:\TERCIO\BR%2520163%2520REST%2520set%25202003\DEISI\Or%25C3%25A7amento%2520Sta%2520Helena%2520Guaran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WINDOWS\Temporary%20Internet%20Files\Content.IE5\Q9YZIJ83\file:\A:\TERCIO\BR%2520163%2520REST%2520set%25202003\DEISI\Or%25C3%25A7amento%2520Sta%2520Helena%2520Guaran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ARQ\projeto\WINDOWS\Temporary%20Internet%20Files\Content.IE5\Q9YZIJ83\file:\A:\TEMP\Or%25C3%25A7amento%2520Sta%2520Helena%2520Guaran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Projetos\LEONARDO\01_SEDUC\01_Boletins\Boletim_JUN2005_R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WINDOWS\Temporary%20Internet%20Files\Content.IE5\Q9YZIJ83\file:\A:\TEMP\Or%25C3%25A7amento%2520Sta%2520Helena%2520Guaran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6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1&#170;%20M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Medi&#231;&#227;o%20n&#186;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ANDRO\Meus%20documentos\LICITA&#199;&#213;ES\DNIT\CP%20220-2006-MT\Edital\ANEXOS%20-%20BR_364_MT_2006%20CONSERVA&#199;&#195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8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ptop%20-%20Arquivos\DNIT\PATOs\Rondon&#243;polis\PATO_BR-364_km_000_ao_km_11290_LICITA&#199;&#195;O%20MAIO%20DE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Laptop%20-%20Arquivos\DNIT\PATOs\Rondon&#243;polis\PATO_BR-364_km_000_ao_km_11290_LICITA&#199;&#195;O%20MAIO%20DE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S&#201;%20RENATO%20-%20ASSESSOR%20T&#201;CNICO\SESC%20SERRA%20AZUL%20-%20estrada\planilhas%20revisadas%20-%20Eron\Or&#231;amento%20-%20tra&#231;ado%20-%20%20SESC%20Serra%20Az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,13"/>
      <sheetName val="1,14"/>
      <sheetName val="1.15"/>
      <sheetName val="1,16"/>
      <sheetName val="1,17"/>
      <sheetName val="aux1"/>
      <sheetName val="1,19"/>
      <sheetName val="1,20"/>
      <sheetName val="1,21"/>
      <sheetName val="1,22"/>
      <sheetName val="1,23"/>
      <sheetName val="1.24"/>
      <sheetName val="1.25"/>
      <sheetName val="1.26"/>
      <sheetName val="1.28"/>
      <sheetName val="1.29"/>
      <sheetName val="3.4"/>
      <sheetName val="D"/>
      <sheetName val="2.1"/>
      <sheetName val="H"/>
      <sheetName val="I"/>
      <sheetName val="J"/>
      <sheetName val="K"/>
      <sheetName val="L"/>
      <sheetName val="M"/>
      <sheetName val="N"/>
      <sheetName val="O"/>
      <sheetName val="aux. 2"/>
      <sheetName val="Q"/>
      <sheetName val="R"/>
      <sheetName val="S"/>
      <sheetName val="T"/>
      <sheetName val="U"/>
      <sheetName val="B"/>
      <sheetName val="G"/>
      <sheetName val="P"/>
      <sheetName val="RESUMO"/>
      <sheetName val="REAJU"/>
      <sheetName val="TSD-FOG"/>
      <sheetName val="Sub e base"/>
      <sheetName val="AGREGADOS"/>
      <sheetName val="DMT modelo"/>
      <sheetName val="Quadro Resumo"/>
      <sheetName val="RELATÓRIO"/>
    </sheetNames>
    <sheetDataSet>
      <sheetData sheetId="0"/>
      <sheetData sheetId="1"/>
      <sheetData sheetId="2"/>
      <sheetData sheetId="3"/>
      <sheetData sheetId="4"/>
      <sheetData sheetId="5">
        <row r="11">
          <cell r="A11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gráfico"/>
      <sheetName val="Pato "/>
      <sheetName val="Memorial "/>
      <sheetName val="Q Custo"/>
      <sheetName val="Transp"/>
      <sheetName val="Cronog"/>
      <sheetName val="reg_mec_fx_dm_"/>
      <sheetName val="rec_cam_pav_"/>
      <sheetName val="solo_cimento"/>
      <sheetName val="imprimação"/>
      <sheetName val="aquis_ CM_30 impri"/>
      <sheetName val="tr_CM_30 impr"/>
      <sheetName val="pint_lig"/>
      <sheetName val="aquis_ RR_1C pl"/>
      <sheetName val="tr_RR_1C pl"/>
      <sheetName val="capa selan_pedrisco"/>
      <sheetName val="aquis_RR_2C"/>
      <sheetName val="tr_RR_2C"/>
      <sheetName val="rec_rev_frio"/>
      <sheetName val="mbuf"/>
      <sheetName val="aquis_RM_1C"/>
      <sheetName val="tr_RM_1C"/>
      <sheetName val="rec_rev_quente"/>
      <sheetName val="mbuq"/>
      <sheetName val="aquis_CAP_20"/>
      <sheetName val="tr_CAP_20"/>
      <sheetName val="rem_man_rev_bet_"/>
      <sheetName val="rem_mec_cam_gran_pav_"/>
      <sheetName val="rem_man_cam_gran_pav_"/>
      <sheetName val="con_ciclp_"/>
      <sheetName val="con_cim_"/>
      <sheetName val="arg_cim_areia"/>
      <sheetName val="drobragem"/>
      <sheetName val="forma"/>
      <sheetName val="ret_com_bueiro"/>
      <sheetName val="reat_apil_"/>
      <sheetName val="limp_ponte"/>
      <sheetName val="esc_man_1ªcat"/>
      <sheetName val="esc_mec_vala_mat_1ªcat"/>
      <sheetName val="enroc_pd_arrum_"/>
      <sheetName val="enroc_pd_jogada"/>
      <sheetName val="tapa buraco"/>
      <sheetName val="aquis_CM_30 tp"/>
      <sheetName val="tr_CM_30 tp"/>
      <sheetName val="rem_pro_dem_mn_"/>
      <sheetName val="aquis_ CM_30 rmendo"/>
      <sheetName val="tr_CM_30 remendo"/>
      <sheetName val="selagem trinca"/>
      <sheetName val="aquis_RR_1C selagem"/>
      <sheetName val="tr_RR_1C selagem"/>
      <sheetName val="correção"/>
      <sheetName val="aquis_ RR_1C pl (2)"/>
      <sheetName val="tr_RR_1C pl (2)"/>
      <sheetName val="fresagem"/>
      <sheetName val="rec_guad_corpo"/>
      <sheetName val="limp_sarj_meio_fio"/>
      <sheetName val="limp_vala_dren_"/>
      <sheetName val="limp_desc_d_água"/>
      <sheetName val="limp_bueiro"/>
      <sheetName val="assent_ D_1_00m"/>
      <sheetName val="limp_pc_sinal_"/>
      <sheetName val="rec_pc_sinal_"/>
      <sheetName val="rec_def_met_"/>
      <sheetName val="caiação"/>
      <sheetName val="renov_sin_horiz_"/>
      <sheetName val="rec_manual aterro"/>
      <sheetName val="rma"/>
      <sheetName val="rem_manual barr_solo"/>
      <sheetName val="rem_manual barr_rocha"/>
      <sheetName val="roç_man_"/>
      <sheetName val="roç_cap_col_"/>
      <sheetName val="roç_mec_"/>
      <sheetName val="capina man_"/>
      <sheetName val="tr_lc_basc_5m3"/>
      <sheetName val="tr_remendo"/>
      <sheetName val="tr_lc_carroc_4t"/>
      <sheetName val="tr_com_carroc_"/>
      <sheetName val="tr_com_basc_10m³"/>
      <sheetName val="tr_loc_mat_bet"/>
      <sheetName val="micro"/>
      <sheetName val="aquis_pilim_"/>
      <sheetName val="tr_polim_"/>
      <sheetName val="veic_"/>
      <sheetName val="mobilização"/>
      <sheetName val="prancha"/>
      <sheetName val="instalação"/>
      <sheetName val="cerca"/>
      <sheetName val="trans_frio"/>
      <sheetName val="trans_quen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um"/>
    </sheetNames>
    <sheetDataSet>
      <sheetData sheetId="0" refreshError="1">
        <row r="4">
          <cell r="A4" t="str">
            <v>Cód. Tarefa</v>
          </cell>
          <cell r="B4" t="str">
            <v>Descrição</v>
          </cell>
          <cell r="C4" t="str">
            <v>Unidade</v>
          </cell>
          <cell r="D4" t="str">
            <v>Valor Unitário</v>
          </cell>
        </row>
        <row r="6">
          <cell r="A6" t="str">
            <v>001.01</v>
          </cell>
          <cell r="B6" t="str">
            <v>PROJETO, ANOTAÇÃO DE REGISTRO TÉCNICO E ACOMPANHAMENTO DE OBRAS</v>
          </cell>
        </row>
        <row r="7">
          <cell r="A7" t="str">
            <v>001.01.00020</v>
          </cell>
          <cell r="B7" t="str">
            <v>Elaboração de Projeto Arquitetônico de Auditório e Teatro ( Fonte: ABENC ), Incl. Anotação de Registro Técnico, Orçamento de Acordo Com Boletim de Preços e Acompanhamento Técnico de Obra</v>
          </cell>
          <cell r="C7" t="str">
            <v>m2</v>
          </cell>
          <cell r="D7">
            <v>11.6</v>
          </cell>
        </row>
        <row r="8">
          <cell r="A8" t="str">
            <v>001.01.00040</v>
          </cell>
          <cell r="B8" t="str">
            <v>Elaboração de Projeto Estrutural de Auditórios e Teatros ( Fonte: ABENC ), Incl. Anotação de Registro Técnico, Orçamento de Acordo Com Boletim de Preços e Acompanhamento Técnico de Obra</v>
          </cell>
          <cell r="C8" t="str">
            <v>m2</v>
          </cell>
          <cell r="D8">
            <v>5.8</v>
          </cell>
        </row>
        <row r="9">
          <cell r="A9" t="str">
            <v>001.01.00060</v>
          </cell>
          <cell r="B9" t="str">
            <v>Elaboração de Projeto Elétrico de Auditórios e Teatros ( Fonte: ABENC ), Incl. Anotação de Registro Técnico, Orçamento de Acordo Com Boletim de Preços e Acompanhamento Técnico de Obra</v>
          </cell>
          <cell r="C9" t="str">
            <v>m2</v>
          </cell>
          <cell r="D9">
            <v>2.2999999999999998</v>
          </cell>
        </row>
        <row r="10">
          <cell r="A10" t="str">
            <v>001.01.00080</v>
          </cell>
          <cell r="B10" t="str">
            <v>Elaboração de Projeto Comunicação de Auditórios e Teatros ( Fonte: ABENC ), Incl. Anotação de Registro Técnico, Orçamento de Acordo Com Boletim de Preços e Acompanhamento Técnico de Obra</v>
          </cell>
          <cell r="C10" t="str">
            <v>m2</v>
          </cell>
          <cell r="D10">
            <v>1.1499999999999999</v>
          </cell>
        </row>
        <row r="11">
          <cell r="A11" t="str">
            <v>001.01.00100</v>
          </cell>
          <cell r="B11" t="str">
            <v>Elaboração de Projeto Hidrosanitário de Auditórios e Teatros ( Fonte: ABENC ), Incl. Anotação de Registro Técnico, Orçamento de Acordo Com Boletim de Preços e Acompanhamento Técnico de Obra</v>
          </cell>
          <cell r="C11" t="str">
            <v>m2</v>
          </cell>
          <cell r="D11">
            <v>2</v>
          </cell>
        </row>
        <row r="12">
          <cell r="A12" t="str">
            <v>001.01.00120</v>
          </cell>
          <cell r="B12" t="str">
            <v>Elaboração de Projeto Rede de Esgoto de Auditórios e Teatros ( Fonte: ABENC ), Incl. Anotação de Registro Técnico, Orçamento de Acordo Com Boletim de Preços e Acompanhamento Técnico de Obra</v>
          </cell>
          <cell r="C12" t="str">
            <v>m2</v>
          </cell>
          <cell r="D12">
            <v>0.8</v>
          </cell>
        </row>
        <row r="13">
          <cell r="A13" t="str">
            <v>001.01.00140</v>
          </cell>
          <cell r="B13" t="str">
            <v>Elaboração de Projeto Incêdio de Auditórios e Teatros ( Fonte: ABENC ), Incl. Anotação de Registro Técnico, Orçamento de Acordo Com Boletim de Preços e Acompanhamento Técnico de Obra</v>
          </cell>
          <cell r="C13" t="str">
            <v>m2</v>
          </cell>
          <cell r="D13">
            <v>3.5</v>
          </cell>
        </row>
        <row r="14">
          <cell r="A14" t="str">
            <v>001.01.00160</v>
          </cell>
          <cell r="B14" t="str">
            <v>Elaboração de Projeto Ar Condicionado de Auditórios e Teatros ( Fonte: ABENC ), Incl. Anotação de Registro Técnico, Orçamento de Acordo Com Boletim de Preços e Acompanhamento Técnico de Obra</v>
          </cell>
          <cell r="C14" t="str">
            <v>m2</v>
          </cell>
          <cell r="D14">
            <v>3.1</v>
          </cell>
        </row>
        <row r="15">
          <cell r="A15" t="str">
            <v>001.01.00180</v>
          </cell>
          <cell r="B15" t="str">
            <v>Elaboração de Projeto Urbanização de Auditórios e Teatros ( Fonte: ABENC ), Incl. Anotação de Registro Técnico, Orçamento de Acordo Com Boletim de Preços e Acompanhamento Técnico de Obra</v>
          </cell>
          <cell r="C15" t="str">
            <v>m2</v>
          </cell>
          <cell r="D15">
            <v>0.25</v>
          </cell>
        </row>
        <row r="16">
          <cell r="A16" t="str">
            <v>001.01.00200</v>
          </cell>
          <cell r="B16" t="str">
            <v>Elaboração de Projeto GLP de Auditórios e Teatros ( Fonte: ABENC ), Incl. Anotação de Registro Técnico, Orçamento de Acordo Com Boletim de Preços e Acompanhamento Técnico de Obra</v>
          </cell>
          <cell r="C16" t="str">
            <v>m2</v>
          </cell>
          <cell r="D16">
            <v>0.3</v>
          </cell>
        </row>
        <row r="17">
          <cell r="A17" t="str">
            <v>001.01.00220</v>
          </cell>
          <cell r="B17" t="str">
            <v>Elaboração de Projeto Arquitetônico de Conjuntos Habitacionais ( Fonte: ABENC ), Incl. Anotação de Registro Técnico, Orçamento de Acordo Com Boletim de Preços e Acompanhamento Técnico de Obra</v>
          </cell>
          <cell r="C17" t="str">
            <v>m2</v>
          </cell>
          <cell r="D17">
            <v>6</v>
          </cell>
        </row>
        <row r="18">
          <cell r="A18" t="str">
            <v>001.01.00240</v>
          </cell>
          <cell r="B18" t="str">
            <v>Elaboração de Projeto Estrutural de Conjuntos Habitacionais ( Fonte: ABENC ), Incl. Anotação de Registro Técnico, Orçamento de Acordo Com Boletim de Preços e Acompanhamento Técnico de Obra</v>
          </cell>
          <cell r="C18" t="str">
            <v>m2</v>
          </cell>
          <cell r="D18">
            <v>3.2</v>
          </cell>
        </row>
        <row r="19">
          <cell r="A19" t="str">
            <v>001.01.00260</v>
          </cell>
          <cell r="B19" t="str">
            <v>Elaboração de Projeto Elétrico de Conjuntos Habitacionais ( Fonte: ABENC ), Incl. Anotação de Registro Técnico, Orçamento de Acordo Com Boletim de Preços e Acompanhamento Técnico de Obra</v>
          </cell>
          <cell r="C19" t="str">
            <v>m2</v>
          </cell>
          <cell r="D19">
            <v>2.5</v>
          </cell>
        </row>
        <row r="20">
          <cell r="A20" t="str">
            <v>001.01.00280</v>
          </cell>
          <cell r="B20" t="str">
            <v>Elaboração de Projeto Comunicação de Conjuntos Habitacionais ( Fonte: ABENC ), Incl. Anotação de Registro Técnico, Orçamento de Acordo Com Boletim de Preços e Acompanhamento Técnico de Obra</v>
          </cell>
          <cell r="C20" t="str">
            <v>m2</v>
          </cell>
          <cell r="D20">
            <v>0.9</v>
          </cell>
        </row>
        <row r="21">
          <cell r="A21" t="str">
            <v>001.01.00300</v>
          </cell>
          <cell r="B21" t="str">
            <v>Elaboração de Projeto Hidrosanitário de Conjuntos Habitacionais ( Fonte: ABENC ), Incl. Anotação de Registro Técnico, Orçamento de Acordo Com Boletim de Preços e Acompanhamento Técnico de Obra</v>
          </cell>
          <cell r="C21" t="str">
            <v>m2</v>
          </cell>
          <cell r="D21">
            <v>1.6</v>
          </cell>
        </row>
        <row r="22">
          <cell r="A22" t="str">
            <v>001.01.00320</v>
          </cell>
          <cell r="B22" t="str">
            <v>Elaboração de Projeto Rede de Esgoto de Conjuntos Habitacionais ( Fonte: ABENC ), Incl. Anotação de Registro Técnico, Orçamento de Acordo Com Boletim de Preços e Acompanhamento Técnico de Obra</v>
          </cell>
          <cell r="C22" t="str">
            <v>m2</v>
          </cell>
          <cell r="D22">
            <v>0.8</v>
          </cell>
        </row>
        <row r="23">
          <cell r="A23" t="str">
            <v>001.01.00340</v>
          </cell>
          <cell r="B23" t="str">
            <v>Elaboração de Projeto Incêdio de Conjuntos Habitacionais ( Fonte: ABENC ), Incl. Anotação de Registro Técnico, Orçamento de Acordo Com Boletim de Preços e Acompanhamento Técnico de Obra</v>
          </cell>
          <cell r="C23" t="str">
            <v>m2</v>
          </cell>
          <cell r="D23">
            <v>1.5</v>
          </cell>
        </row>
        <row r="24">
          <cell r="A24" t="str">
            <v>001.01.00360</v>
          </cell>
          <cell r="B24" t="str">
            <v>Elaboração de Projeto Ar Condicionado de Conjuntos Habitacionais ( Fonte: ABENC ), Incl. Anotação de Registro Técnico, Orçamento de Acordo Com Boletim de Preços e Acompanhamento Técnico de Obra</v>
          </cell>
          <cell r="C24" t="str">
            <v>m2</v>
          </cell>
          <cell r="D24">
            <v>0.4</v>
          </cell>
        </row>
        <row r="25">
          <cell r="A25" t="str">
            <v>001.01.00380</v>
          </cell>
          <cell r="B25" t="str">
            <v>Elaboração de Projeto Urbanização de Conjuntos Habitacionais ( Fonte: ABENC ), Incl. Anotação de Registro Técnico, Orçamento de Acordo Com Boletim de Preços e Acompanhamento Técnico de Obra</v>
          </cell>
          <cell r="C25" t="str">
            <v>m2</v>
          </cell>
          <cell r="D25">
            <v>0.35</v>
          </cell>
        </row>
        <row r="26">
          <cell r="A26" t="str">
            <v>001.01.00400</v>
          </cell>
          <cell r="B26" t="str">
            <v>Elaboração de Projeto GLP de Conjuntos Habitacionais ( Fonte: ABENC ), Incl. Anotação de Registro Técnico, Orçamento de Acordo Com Boletim de Preços e Acompanhamento Técnico de Obra</v>
          </cell>
          <cell r="C26" t="str">
            <v>m2</v>
          </cell>
          <cell r="D26">
            <v>0.3</v>
          </cell>
        </row>
        <row r="27">
          <cell r="A27" t="str">
            <v>001.01.00420</v>
          </cell>
          <cell r="B27" t="str">
            <v>Elaboração de Projeto Arquitetônico de Escolas e Colégios ( Fonte: ABENC ), Incl. Anotação de Registro Técnico, Orçamento de Acordo Com Boletim de Preços e Acompanhamento Técnico de Obra</v>
          </cell>
          <cell r="C27" t="str">
            <v>m2</v>
          </cell>
          <cell r="D27">
            <v>9</v>
          </cell>
        </row>
        <row r="28">
          <cell r="A28" t="str">
            <v>001.01.00440</v>
          </cell>
          <cell r="B28" t="str">
            <v>Elaboração de Projeto Estrutural de Escolas e Colégios ( Fonte: ABENC ), Incl. Anotação de Registro Técnico, Orçamento de Acordo Com Boletim de Preços e Acompanhamento Técnico de Obra</v>
          </cell>
          <cell r="C28" t="str">
            <v>m2</v>
          </cell>
          <cell r="D28">
            <v>2.7</v>
          </cell>
        </row>
        <row r="29">
          <cell r="A29" t="str">
            <v>001.01.00460</v>
          </cell>
          <cell r="B29" t="str">
            <v>Elaboração de Projeto Elétrico de Escolas e Colégios ( Fonte: ABENC ), Incl. Anotação de Registro Técnico, Orçamento de Acordo Com Boletim de Preços e Acompanhamento Técnico de Obra</v>
          </cell>
          <cell r="C29" t="str">
            <v>m2</v>
          </cell>
          <cell r="D29">
            <v>1.8</v>
          </cell>
        </row>
        <row r="30">
          <cell r="A30" t="str">
            <v>001.01.00480</v>
          </cell>
          <cell r="B30" t="str">
            <v>Elaboração de Projeto Comunicação de Escolas e Colégios ( Fonte: ABENC ), Incl. Anotação de Registro Técnico, Orçamento de Acordo Com Boletim de Preços e Acompanhamento Técnico de Obra</v>
          </cell>
          <cell r="C30" t="str">
            <v>m2</v>
          </cell>
          <cell r="D30">
            <v>0.9</v>
          </cell>
        </row>
        <row r="31">
          <cell r="A31" t="str">
            <v>001.01.00500</v>
          </cell>
          <cell r="B31" t="str">
            <v>Elaboração de Projeto Hidrosanitário de Escolas e Colégios ( Fonte: ABENC ), Incl. Anotação de Registro Técnico, Orçamento de Acordo Com Boletim de Preços e Acompanhamento Técnico de Obra</v>
          </cell>
          <cell r="C31" t="str">
            <v>m2</v>
          </cell>
          <cell r="D31">
            <v>1.9</v>
          </cell>
        </row>
        <row r="32">
          <cell r="A32" t="str">
            <v>001.01.00520</v>
          </cell>
          <cell r="B32" t="str">
            <v>Elaboração de Projeto Rede de Esgoto de Escolas e Colégios ( Fonte: ABENC ), Incl. Anotação de Registro Técnico, Orçamento de Acordo Com Boletim de Preços e Acompanhamento Técnico de Obra</v>
          </cell>
          <cell r="C32" t="str">
            <v>m2</v>
          </cell>
          <cell r="D32">
            <v>0.8</v>
          </cell>
        </row>
        <row r="33">
          <cell r="A33" t="str">
            <v>001.01.00540</v>
          </cell>
          <cell r="B33" t="str">
            <v>Elaboração de Projeto Incêdio de Escolas e Colégios ( Fonte: ABENC ), Incl. Anotação de Registro Técnico, Orçamento de Acordo Com Boletim de Preços e Acompanhamento Técnico de Obra</v>
          </cell>
          <cell r="C33" t="str">
            <v>m2</v>
          </cell>
          <cell r="D33">
            <v>1.2</v>
          </cell>
        </row>
        <row r="34">
          <cell r="A34" t="str">
            <v>001.01.00560</v>
          </cell>
          <cell r="B34" t="str">
            <v>Elaboração de Projeto Ar Condicionado de Escolas e Colégios ( Fonte: ABENC ), Incl. Anotação de Registro Técnico, Orçamento de Acordo Com Boletim de Preços e Acompanhamento Técnico de Obra</v>
          </cell>
          <cell r="C34" t="str">
            <v>m2</v>
          </cell>
          <cell r="D34">
            <v>0.9</v>
          </cell>
        </row>
        <row r="35">
          <cell r="A35" t="str">
            <v>001.01.00580</v>
          </cell>
          <cell r="B35" t="str">
            <v>Elaboração de Projeto Urbanização de Escolas e Colégios ( Fonte: ABENC ), Incl. Anotação de Registro Técnico, Orçamento de Acordo Com Boletim de Preços e Acompanhamento Técnico de Obra</v>
          </cell>
          <cell r="C35" t="str">
            <v>m2</v>
          </cell>
          <cell r="D35">
            <v>0.2</v>
          </cell>
        </row>
        <row r="36">
          <cell r="A36" t="str">
            <v>001.01.00600</v>
          </cell>
          <cell r="B36" t="str">
            <v>Elaboração de Projeto GLP de Escolas e Colégios ( Fonte: ABENC ), Incl. Anotação de Registro Técnico, Orçamento de Acordo Com Boletim de Preços e Acompanhamento Técnico de Obra</v>
          </cell>
          <cell r="C36" t="str">
            <v>m2</v>
          </cell>
          <cell r="D36">
            <v>0.3</v>
          </cell>
        </row>
        <row r="37">
          <cell r="A37" t="str">
            <v>001.01.00620</v>
          </cell>
          <cell r="B37" t="str">
            <v>Elaboração de Projeto Gás Industrial de Escolas e Colégios ( Fonte: ABENC ), Incl. Anotação de Registro Técnico, Orçamento de Acordo Com Boletim de Preços e Acompanhamento Técnico de Obra</v>
          </cell>
          <cell r="C37" t="str">
            <v>m2</v>
          </cell>
          <cell r="D37">
            <v>0.45</v>
          </cell>
        </row>
        <row r="38">
          <cell r="A38" t="str">
            <v>001.01.00640</v>
          </cell>
          <cell r="B38" t="str">
            <v>Elaboração de Projeto Gás Medicinal de Escolas e Colégios ( Fonte: ABENC ), Incl. Anotação de Registro Técnico, Orçamento de Acordo Com Boletim de Preços e Acompanhamento Técnico de Obra</v>
          </cell>
          <cell r="C38" t="str">
            <v>m2</v>
          </cell>
          <cell r="D38">
            <v>0.8</v>
          </cell>
        </row>
        <row r="39">
          <cell r="A39" t="str">
            <v>001.01.00660</v>
          </cell>
          <cell r="B39" t="str">
            <v>Elaboração de Projeto Arquitetônico de Hospitais ( Fonte: ABENC ), Incl. Anotação de Registro Técnico, Orçamento de Acordo Com Boletim de Preços e Acompanhamento Técnico de Obra</v>
          </cell>
          <cell r="C39" t="str">
            <v>m2</v>
          </cell>
          <cell r="D39">
            <v>10.5</v>
          </cell>
        </row>
        <row r="40">
          <cell r="A40" t="str">
            <v>001.01.00680</v>
          </cell>
          <cell r="B40" t="str">
            <v>Elaboração de Projeto Estrutural de Hospitais ( Fonte: ABENC ), Incl. Anotação de Registro Técnico, Orçamento de Acordo Com Boletim de Preços e Acompanhamento Técnico de Obra</v>
          </cell>
          <cell r="C40" t="str">
            <v>m2</v>
          </cell>
          <cell r="D40">
            <v>4.3</v>
          </cell>
        </row>
        <row r="41">
          <cell r="A41" t="str">
            <v>001.01.00700</v>
          </cell>
          <cell r="B41" t="str">
            <v>Elaboração de Projeto Elétrico de Hospitais ( Fonte: ABENC ), Incl. Anotação de Registro Técnico, Orçamento de Acordo Com Boletim de Preços e Acompanhamento Técnico de Obra</v>
          </cell>
          <cell r="C41" t="str">
            <v>m2</v>
          </cell>
          <cell r="D41">
            <v>3.4</v>
          </cell>
        </row>
        <row r="42">
          <cell r="A42" t="str">
            <v>001.01.00720</v>
          </cell>
          <cell r="B42" t="str">
            <v>Elaboração de Projeto Comunicação de Hospitais ( Fonte: ABENC ), Incl. Anotação de Registro Técnico, Orçamento de Acordo Com Boletim de Preços e Acompanhamento Técnico de Obra</v>
          </cell>
          <cell r="C42" t="str">
            <v>m2</v>
          </cell>
          <cell r="D42">
            <v>1.7</v>
          </cell>
        </row>
        <row r="43">
          <cell r="A43" t="str">
            <v>001.01.00740</v>
          </cell>
          <cell r="B43" t="str">
            <v>Elaboração de Projeto Hidrosanitário de Hospitais ( Fonte: ABENC ), Incl. Anotação de Registro Técnico, Orçamento de Acordo Com Boletim de Preços e Acompanhamento Técnico de Obra</v>
          </cell>
          <cell r="C43" t="str">
            <v>m2</v>
          </cell>
          <cell r="D43">
            <v>4.8</v>
          </cell>
        </row>
        <row r="44">
          <cell r="A44" t="str">
            <v>001.01.00760</v>
          </cell>
          <cell r="B44" t="str">
            <v>Elaboração de Projeto Rede de Esgoto de Hospitais ( Fonte: ABENC ), Incl. Anotação de Registro Técnico, Orçamento de Acordo Com Boletim de Preços e Acompanhamento Técnico de Obra</v>
          </cell>
          <cell r="C44" t="str">
            <v>m2</v>
          </cell>
          <cell r="D44">
            <v>1.5</v>
          </cell>
        </row>
        <row r="45">
          <cell r="A45" t="str">
            <v>001.01.00780</v>
          </cell>
          <cell r="B45" t="str">
            <v>Elaboração de Projeto Incêdio de Hospitais ( Fonte: ABENC ), Incl. Anotação de Registro Técnico, Orçamento de Acordo Com Boletim de Preços e Acompanhamento Técnico de Obra</v>
          </cell>
          <cell r="C45" t="str">
            <v>m2</v>
          </cell>
          <cell r="D45">
            <v>1.2</v>
          </cell>
        </row>
        <row r="46">
          <cell r="A46" t="str">
            <v>001.01.00800</v>
          </cell>
          <cell r="B46" t="str">
            <v>Elaboração de Projeto Ar Condicionado de Hospitais ( Fonte: ABENC ), Incl. Anotação de Registro Técnico, Orçamento de Acordo Com Boletim de Preços e Acompanhamento Técnico de Obra</v>
          </cell>
          <cell r="C46" t="str">
            <v>m2</v>
          </cell>
          <cell r="D46">
            <v>1.7</v>
          </cell>
        </row>
        <row r="47">
          <cell r="A47" t="str">
            <v>001.01.00820</v>
          </cell>
          <cell r="B47" t="str">
            <v>Elaboração de Projeto Urbanização de Hospitais ( Fonte: ABENC ), Incl. Anotação de Registro Técnico, Orçamento de Acordo Com Boletim de Preços e Acompanhamento Técnico de Obra</v>
          </cell>
          <cell r="C47" t="str">
            <v>m2</v>
          </cell>
          <cell r="D47">
            <v>0.25</v>
          </cell>
        </row>
        <row r="48">
          <cell r="A48" t="str">
            <v>001.01.00840</v>
          </cell>
          <cell r="B48" t="str">
            <v>Elaboração de Projeto GLP de Hospitais ( Fonte: ABENC ), Incl. Anotação de Registro Técnico, Orçamento de Acordo Com Boletim de Preços e Acompanhamento Técnico de Obra</v>
          </cell>
          <cell r="C48" t="str">
            <v>m2</v>
          </cell>
          <cell r="D48">
            <v>0.4</v>
          </cell>
        </row>
        <row r="49">
          <cell r="A49" t="str">
            <v>001.01.00860</v>
          </cell>
          <cell r="B49" t="str">
            <v>Elaboração de Projeto Gas Industrial de Hospitais ( Fonte: ABENC ), Incl. Anotação de Registro Técnico, Orçamento de Acordo Com Boletim de Preços e Acompanhamento Técnico de Obra</v>
          </cell>
          <cell r="C49" t="str">
            <v>m2</v>
          </cell>
          <cell r="D49">
            <v>0.4</v>
          </cell>
        </row>
        <row r="50">
          <cell r="A50" t="str">
            <v>001.01.00880</v>
          </cell>
          <cell r="B50" t="str">
            <v>Elaboração de Projeto Gas Medicinal de Hospitais ( Fonte: ABENC ), Incl. Anotação de Registro Técnico, Orçamento de Acordo Com Boletim de Preços e Acompanhamento Técnico de Obra</v>
          </cell>
          <cell r="C50" t="str">
            <v>m2</v>
          </cell>
          <cell r="D50">
            <v>0.8</v>
          </cell>
        </row>
        <row r="51">
          <cell r="A51" t="str">
            <v>001.01.00900</v>
          </cell>
          <cell r="B51" t="str">
            <v>Elaboração de Projeto Arquitetônico de Parque, Praças e Quadras ( Fonte: ABENC ), Incl. Anotação de Registro Técnico, Orçamento de Acordo Com Boletim de Preços e Acompanhamento Técnico de Obra</v>
          </cell>
          <cell r="C51" t="str">
            <v>m2</v>
          </cell>
          <cell r="D51">
            <v>0.95</v>
          </cell>
        </row>
        <row r="52">
          <cell r="A52" t="str">
            <v>001.01.00920</v>
          </cell>
          <cell r="B52" t="str">
            <v>Elaboração de Projeto Estrutural de Parque, Praças e Quadras ( Fonte: ABENC ), Incl. Anotação de Registro Técnico, Orçamento de Acordo Com Boletim de Preços e Acompanhamento Técnico de Obra</v>
          </cell>
          <cell r="C52" t="str">
            <v>m2</v>
          </cell>
          <cell r="D52">
            <v>0.5</v>
          </cell>
        </row>
        <row r="53">
          <cell r="A53" t="str">
            <v>001.01.00940</v>
          </cell>
          <cell r="B53" t="str">
            <v>Elaboração de Projeto Elétrico de Parque, Praças e Quadras ( Fonte: ABENC ), Incl. Anotação de Registro Técnico, Orçamento de Acordo Com Boletim de Preços e Acompanhamento Técnico de Obra</v>
          </cell>
          <cell r="C53" t="str">
            <v>m2</v>
          </cell>
          <cell r="D53">
            <v>0.1</v>
          </cell>
        </row>
        <row r="54">
          <cell r="A54" t="str">
            <v>001.01.00960</v>
          </cell>
          <cell r="B54" t="str">
            <v>Elaboração de Projeto Comunicação de Parque, Praças e Quadras ( Fonte: ABENC ), Incl. Anotação de Registro Técnico, Orçamento de Acordo Com Boletim de Preços e Acompanhamento Técnico de Obra</v>
          </cell>
          <cell r="C54" t="str">
            <v>m2</v>
          </cell>
          <cell r="D54">
            <v>0.15</v>
          </cell>
        </row>
        <row r="55">
          <cell r="A55" t="str">
            <v>001.01.00980</v>
          </cell>
          <cell r="B55" t="str">
            <v>Elaboração de Projeto Hidrosanitário de Parque, Praças e Quadras ( Fonte: ABENC ), Incl. Anotação de Registro Técnico, Orçamento de Acordo Com Boletim de Preços e Acompanhamento Técnico de Obra</v>
          </cell>
          <cell r="C55" t="str">
            <v>m2</v>
          </cell>
          <cell r="D55">
            <v>1.5</v>
          </cell>
        </row>
        <row r="56">
          <cell r="A56" t="str">
            <v>001.01.01000</v>
          </cell>
          <cell r="B56" t="str">
            <v>Elaboração de Projeto Rede de Esgoto de Parque, Praças e Quadras ( Fonte: ABENC ), Incl. Anotação de Registro Técnico, Orçamento de Acordo Com Boletim de Preços e Acompanhamento Técnico de Obra</v>
          </cell>
          <cell r="C56" t="str">
            <v>m2</v>
          </cell>
          <cell r="D56">
            <v>0.5</v>
          </cell>
        </row>
        <row r="57">
          <cell r="A57" t="str">
            <v>001.01.01020</v>
          </cell>
          <cell r="B57" t="str">
            <v>Elaboração de Projeto Incêdio de Parque, Praças e Quadras ( Fonte: ABENC ), Incl. Anotação de Registro Técnico, Orçamento de Acordo Com Boletim de Preços e Acompanhamento Técnico de Obra</v>
          </cell>
          <cell r="C57" t="str">
            <v>m2</v>
          </cell>
          <cell r="D57">
            <v>0.5</v>
          </cell>
        </row>
        <row r="58">
          <cell r="A58" t="str">
            <v>001.01.01040</v>
          </cell>
          <cell r="B58" t="str">
            <v>Elaboração de Projeto Urbanização de Parque, Praças e Quadras ( Fonte: ABENC ), Incl. Anotação de Registro Técnico, Orçamento de Acordo Com Boletim de Preços e Acompanhamento Técnico de Obra</v>
          </cell>
          <cell r="C58" t="str">
            <v>m2</v>
          </cell>
          <cell r="D58">
            <v>3</v>
          </cell>
        </row>
        <row r="59">
          <cell r="A59" t="str">
            <v>001.01.01060</v>
          </cell>
          <cell r="B59" t="str">
            <v>Elaboração de Projeto Arquitetônico de Penitenciárias e Quartéis ( Fonte: ABENC ), Incl. Anotação de Registro Técnico, Orçamento de Acordo Com Boletim de Preços e Acompanhamento Técnico de Obra</v>
          </cell>
          <cell r="C59" t="str">
            <v>m2</v>
          </cell>
          <cell r="D59">
            <v>7.65</v>
          </cell>
        </row>
        <row r="60">
          <cell r="A60" t="str">
            <v>001.01.01080</v>
          </cell>
          <cell r="B60" t="str">
            <v>Elaboração de Projeto Estrutural de Penitenciárias e Quartéis ( Fonte: ABENC ), Incl. Anotação de Registro Técnico, Orçamento de Acordo Com Boletim de Preços e Acompanhamento Técnico de Obra</v>
          </cell>
          <cell r="C60" t="str">
            <v>m2</v>
          </cell>
          <cell r="D60">
            <v>3.7</v>
          </cell>
        </row>
        <row r="61">
          <cell r="A61" t="str">
            <v>001.01.01100</v>
          </cell>
          <cell r="B61" t="str">
            <v>Elaboração de Projeto Elétrico de Penitenciárias e Quartéis ( Fonte: ABENC ), Incl. Anotação de Registro Técnico, Orçamento de Acordo Com Boletim de Preços e Acompanhamento Técnico de Obra</v>
          </cell>
          <cell r="C61" t="str">
            <v>m2</v>
          </cell>
          <cell r="D61">
            <v>2.1</v>
          </cell>
        </row>
        <row r="62">
          <cell r="A62" t="str">
            <v>001.01.01120</v>
          </cell>
          <cell r="B62" t="str">
            <v>Elaboração de Projeto Comunicação de Penitenciárias e Quartéis ( Fonte: ABENC ), Incl. Anotação de Registro Técnico, Orçamento de Acordo Com Boletim de Preços e Acompanhamento Técnico de Obra</v>
          </cell>
          <cell r="C62" t="str">
            <v>m2</v>
          </cell>
          <cell r="D62">
            <v>1.75</v>
          </cell>
        </row>
        <row r="63">
          <cell r="A63" t="str">
            <v>001.01.01140</v>
          </cell>
          <cell r="B63" t="str">
            <v>Elaboração de Projeto Hidrosanitário de Penitenciárias e Quartéis ( Fonte: ABENC ), Incl. Anotação de Registro Técnico, Orçamento de Acordo Com Boletim de Preços e Acompanhamento Técnico de Obra</v>
          </cell>
          <cell r="C63" t="str">
            <v>m2</v>
          </cell>
          <cell r="D63">
            <v>2.2000000000000002</v>
          </cell>
        </row>
        <row r="64">
          <cell r="A64" t="str">
            <v>001.01.01160</v>
          </cell>
          <cell r="B64" t="str">
            <v>Elaboração de Projeto Rede de Esgoto de Penitenciárias e Quartéis ( Fonte: ABENC ), Incl. Anotação de Registro Técnico, Orçamento de Acordo Com Boletim de Preços e Acompanhamento Técnico de Obra</v>
          </cell>
          <cell r="C64" t="str">
            <v>m2</v>
          </cell>
          <cell r="D64">
            <v>0.8</v>
          </cell>
        </row>
        <row r="65">
          <cell r="A65" t="str">
            <v>001.01.01180</v>
          </cell>
          <cell r="B65" t="str">
            <v>Elaboração de Projeto Incêdio de Penitenciárias e Quartéis ( Fonte: ABENC ), Incl. Anotação de Registro Técnico, Orçamento de Acordo Com Boletim de Preços e Acompanhamento Técnico de Obra</v>
          </cell>
          <cell r="C65" t="str">
            <v>m2</v>
          </cell>
          <cell r="D65">
            <v>1.2</v>
          </cell>
        </row>
        <row r="66">
          <cell r="A66" t="str">
            <v>001.01.01200</v>
          </cell>
          <cell r="B66" t="str">
            <v>Elaboração de Projeto Ar Condicionado de Penitenciárias e Quartéis ( Fonte: ABENC ), Incl. Anotação de Registro Técnico, Orçamento de Acordo Com Boletim de Preços e Acompanhamento Técnico de Obra</v>
          </cell>
          <cell r="C66" t="str">
            <v>m2</v>
          </cell>
          <cell r="D66">
            <v>1</v>
          </cell>
        </row>
        <row r="67">
          <cell r="A67" t="str">
            <v>001.01.01220</v>
          </cell>
          <cell r="B67" t="str">
            <v>Elaboração de Projeto Urbanização de Penitenciárias e Quartéis ( Fonte: ABENC ), Incl. Anotação de Registro Técnico, Orçamento de Acordo Com Boletim de Preços e Acompanhamento Técnico de Obra</v>
          </cell>
          <cell r="C67" t="str">
            <v>m2</v>
          </cell>
          <cell r="D67">
            <v>0.25</v>
          </cell>
        </row>
        <row r="68">
          <cell r="A68" t="str">
            <v>001.01.01240</v>
          </cell>
          <cell r="B68" t="str">
            <v>Elaboração de Projeto GLP de Penitenciárias e Quartéis ( Fonte: ABENC ), Incl. Anotação de Registro Técnico, Orçamento de Acordo Com Boletim de Preços e Acompanhamento Técnico de Obra</v>
          </cell>
          <cell r="C68" t="str">
            <v>m2</v>
          </cell>
          <cell r="D68">
            <v>0.3</v>
          </cell>
        </row>
        <row r="69">
          <cell r="A69" t="str">
            <v>001.01.01260</v>
          </cell>
          <cell r="B69" t="str">
            <v>Elaboração de Projeto Gas Industrial de Penitenciárias e Quartéis ( Fonte: ABENC ), Incl. Anotação de Registro Técnico, Orçamento de Acordo Com Boletim de Preços e Acompanhamento Técnico de Obra</v>
          </cell>
          <cell r="C69" t="str">
            <v>m2</v>
          </cell>
          <cell r="D69">
            <v>0.4</v>
          </cell>
        </row>
        <row r="70">
          <cell r="A70" t="str">
            <v>001.01.01280</v>
          </cell>
          <cell r="B70" t="str">
            <v>Elaboração de Projeto Gas Medicinal de Penitenciárias e Quartéis ( Fonte: ABENC ), Incl. Anotação de Registro Técnico, Orçamento de Acordo Com Boletim de Preços e Acompanhamento Técnico de Obra</v>
          </cell>
          <cell r="C70" t="str">
            <v>m2</v>
          </cell>
          <cell r="D70">
            <v>0.8</v>
          </cell>
        </row>
        <row r="71">
          <cell r="A71" t="str">
            <v>001.01.01300</v>
          </cell>
          <cell r="B71" t="str">
            <v>Elaboração de Projeto Arquitetônico de Piscinas ( Fonte: ABENC ), Incl. Anotação de Registro Técnico, Orçamento de Acordo Com Boletim de Preços e Acompanhamento Técnico de Obra</v>
          </cell>
          <cell r="C71" t="str">
            <v>m2</v>
          </cell>
          <cell r="D71">
            <v>32.799999999999997</v>
          </cell>
        </row>
        <row r="72">
          <cell r="A72" t="str">
            <v>001.01.01320</v>
          </cell>
          <cell r="B72" t="str">
            <v>Elaboração de Projeto Estrutural de Piscinas ( Fonte: ABENC ), Incl. Anotação de Registro Técnico, Orçamento de Acordo Com Boletim de Preços e Acompanhamento Técnico de Obra</v>
          </cell>
          <cell r="C72" t="str">
            <v>m2</v>
          </cell>
          <cell r="D72">
            <v>45</v>
          </cell>
        </row>
        <row r="73">
          <cell r="A73" t="str">
            <v>001.01.01340</v>
          </cell>
          <cell r="B73" t="str">
            <v>Elaboração de Projeto Elétrico de Piscinas ( Fonte: ABENC ), Incl. Anotação de Registro Técnico, Orçamento de Acordo Com Boletim de Preços e Acompanhamento Técnico de Obra</v>
          </cell>
          <cell r="C73" t="str">
            <v>m2</v>
          </cell>
          <cell r="D73">
            <v>2.7</v>
          </cell>
        </row>
        <row r="74">
          <cell r="A74" t="str">
            <v>001.01.01360</v>
          </cell>
          <cell r="B74" t="str">
            <v>Elaboração de Projeto Comunicação de Piscinas ( Fonte: ABENC ), Incl. Anotação de Registro Técnico, Orçamento de Acordo Com Boletim de Preços e Acompanhamento Técnico de Obra</v>
          </cell>
          <cell r="C74" t="str">
            <v>m2</v>
          </cell>
          <cell r="D74">
            <v>1.4</v>
          </cell>
        </row>
        <row r="75">
          <cell r="A75" t="str">
            <v>001.01.01380</v>
          </cell>
          <cell r="B75" t="str">
            <v>Elaboração de Projeto Hidrosanitário de Piscinas ( Fonte: ABENC ), Incl. Anotação de Registro Técnico, Orçamento de Acordo Com Boletim de Preços e Acompanhamento Técnico de Obra</v>
          </cell>
          <cell r="C75" t="str">
            <v>m2</v>
          </cell>
          <cell r="D75">
            <v>28</v>
          </cell>
        </row>
        <row r="76">
          <cell r="A76" t="str">
            <v>001.01.01400</v>
          </cell>
          <cell r="B76" t="str">
            <v>Elaboração de Projeto Rede de Esgoto de Piscinas ( Fonte: ABENC ), Incl. Anotação de Registro Técnico, Orçamento de Acordo Com Boletim de Preços e Acompanhamento Técnico de Obra</v>
          </cell>
          <cell r="C76" t="str">
            <v>m2</v>
          </cell>
          <cell r="D76">
            <v>25</v>
          </cell>
        </row>
        <row r="77">
          <cell r="A77" t="str">
            <v>001.01.01420</v>
          </cell>
          <cell r="B77" t="str">
            <v>Elaboração de Projeto Urbanização de Piscinas ( Fonte: ABENC ), Incl. Anotação de Registro Técnico, Orçamento de Acordo Com Boletim de Preços e Acompanhamento Técnico de Obra</v>
          </cell>
          <cell r="C77" t="str">
            <v>m2</v>
          </cell>
          <cell r="D77">
            <v>20</v>
          </cell>
        </row>
        <row r="78">
          <cell r="A78" t="str">
            <v>001.01.01440</v>
          </cell>
          <cell r="B78" t="str">
            <v>Elaboração de Projeto Gas Industrial de Piscinas ( Fonte: ABENC ), Incl. Anotação de Registro Técnico, Orçamento de Acordo Com Boletim de Preços e Acompanhamento Técnico de Obra</v>
          </cell>
          <cell r="C78" t="str">
            <v>m2</v>
          </cell>
          <cell r="D78">
            <v>0.4</v>
          </cell>
        </row>
        <row r="79">
          <cell r="A79" t="str">
            <v>001.01.01460</v>
          </cell>
          <cell r="B79" t="str">
            <v>Elaboração de Projeto Arquitetônico de Prédios Comerciais e De Escritórios ( Fonte: ABENC ), Incl. Anotação de Registro Técnico, Orçamento de Acordo Com Boletim de Preços e Acompanhamento Técnico de Obra</v>
          </cell>
          <cell r="C79" t="str">
            <v>m2</v>
          </cell>
          <cell r="D79">
            <v>8</v>
          </cell>
        </row>
        <row r="80">
          <cell r="A80" t="str">
            <v>001.01.01480</v>
          </cell>
          <cell r="B80" t="str">
            <v>Elaboração de Projeto Estrutural de Prédios Comerciais e De Escritórios ( Fonte: ABENC ), Incl. Anotação de Registro Técnico, Orçamento de Acordo Com Boletim de Preços e Acompanhamento Técnico de Obra</v>
          </cell>
          <cell r="C80" t="str">
            <v>m2</v>
          </cell>
          <cell r="D80">
            <v>4.5</v>
          </cell>
        </row>
        <row r="81">
          <cell r="A81" t="str">
            <v>001.01.01500</v>
          </cell>
          <cell r="B81" t="str">
            <v>Elaboração de Projeto Elétrico de Prédios Comerciais e De Escritórios ( Fonte: ABENC ), Incl. Anotação de Registro Técnico, Orçamento de Acordo Com Boletim de Preços e Acompanhamento Técnico de Obra</v>
          </cell>
          <cell r="C81" t="str">
            <v>m2</v>
          </cell>
          <cell r="D81">
            <v>3.65</v>
          </cell>
        </row>
        <row r="82">
          <cell r="A82" t="str">
            <v>001.01.01520</v>
          </cell>
          <cell r="B82" t="str">
            <v>Elaboração de Projeto Comunicação de Prédios Comerciais e De Escritórios ( Fonte: ABENC ), Incl. Anotação de Registro Técnico, Orçamento de Acordo Com Boletim de Preços e Acompanhamento Técnico de Obra</v>
          </cell>
          <cell r="C82" t="str">
            <v>m2</v>
          </cell>
          <cell r="D82">
            <v>1.75</v>
          </cell>
        </row>
        <row r="83">
          <cell r="A83" t="str">
            <v>001.01.01540</v>
          </cell>
          <cell r="B83" t="str">
            <v>Elaboração de Projeto Hidrosanitário de Prédios Comerciais e De Escritórios ( Fonte: ABENC ), Incl. Anotação de Registro Técnico, Orçamento de Acordo Com Boletim de Preços e Acompanhamento Técnico de Obra</v>
          </cell>
          <cell r="C83" t="str">
            <v>m2</v>
          </cell>
          <cell r="D83">
            <v>1.6</v>
          </cell>
        </row>
        <row r="84">
          <cell r="A84" t="str">
            <v>001.01.01560</v>
          </cell>
          <cell r="B84" t="str">
            <v>Elaboração de Projeto Rede de Esgoto de Prédios Comerciais e De Escritórios ( Fonte: ABENC ), Incl. Anotação de Registro Técnico, Orçamento de Acordo Com Boletim de Preços e Acompanhamento Técnico de Obra</v>
          </cell>
          <cell r="C84" t="str">
            <v>m2</v>
          </cell>
          <cell r="D84">
            <v>0.8</v>
          </cell>
        </row>
        <row r="85">
          <cell r="A85" t="str">
            <v>001.01.01580</v>
          </cell>
          <cell r="B85" t="str">
            <v>Elaboração de Projeto Incêdio de Prédios Comerciais e De Escritórios ( Fonte: ABENC ), Incl. Anotação de Registro Técnico, Orçamento de Acordo Com Boletim de Preços e Acompanhamento Técnico de Obra</v>
          </cell>
          <cell r="C85" t="str">
            <v>m2</v>
          </cell>
          <cell r="D85">
            <v>1.8</v>
          </cell>
        </row>
        <row r="86">
          <cell r="A86" t="str">
            <v>001.01.01600</v>
          </cell>
          <cell r="B86" t="str">
            <v>Elaboração de Projeto Ar Condicionado de Prédios Comerciais e De Escritórios ( Fonte: ABENC ), Incl. Anotação de Registro Técnico, Orçamento de Acordo Com Boletim de Preços e Acompanhamento Técnico de Obra</v>
          </cell>
          <cell r="C86" t="str">
            <v>m2</v>
          </cell>
          <cell r="D86">
            <v>2.5</v>
          </cell>
        </row>
        <row r="87">
          <cell r="A87" t="str">
            <v>001.01.01620</v>
          </cell>
          <cell r="B87" t="str">
            <v>Elaboração de Projeto Urbanização de Prédios Comerciais e De Escritórios ( Fonte: ABENC ), Incl. Anotação de Registro Técnico, Orçamento de Acordo Com Boletim de Preços e Acompanhamento Técnico de Obra</v>
          </cell>
          <cell r="C87" t="str">
            <v>m2</v>
          </cell>
          <cell r="D87">
            <v>0.5</v>
          </cell>
        </row>
        <row r="88">
          <cell r="A88" t="str">
            <v>001.01.01640</v>
          </cell>
          <cell r="B88" t="str">
            <v>Elaboração de Projeto GLP de Prédios Comerciais e De Escritórios ( Fonte: ABENC ), Incl. Anotação de Registro Técnico, Orçamento de Acordo Com Boletim de Preços e Acompanhamento Técnico de Obra</v>
          </cell>
          <cell r="C88" t="str">
            <v>m2</v>
          </cell>
          <cell r="D88">
            <v>0.45</v>
          </cell>
        </row>
        <row r="89">
          <cell r="A89" t="str">
            <v>001.02</v>
          </cell>
          <cell r="B89" t="str">
            <v>SERVIÇOS PRELIMINARES</v>
          </cell>
        </row>
        <row r="90">
          <cell r="A90" t="str">
            <v>001.02.00020</v>
          </cell>
          <cell r="B90" t="str">
            <v>Execução de Corte e destocamento inclusive remoção de árvore de pequeno porte com diâmetro até 15 cm</v>
          </cell>
          <cell r="C90" t="str">
            <v>UN</v>
          </cell>
          <cell r="D90">
            <v>19.959199999999999</v>
          </cell>
        </row>
        <row r="91">
          <cell r="A91" t="str">
            <v>001.02.00040</v>
          </cell>
          <cell r="B91" t="str">
            <v>Execução de Corte e destocamento inclusive remoção de árvore de médio porte com diâmetro até 25 cm</v>
          </cell>
          <cell r="C91" t="str">
            <v>UN</v>
          </cell>
          <cell r="D91">
            <v>26.107700000000001</v>
          </cell>
        </row>
        <row r="92">
          <cell r="A92" t="str">
            <v>001.02.00060</v>
          </cell>
          <cell r="B92" t="str">
            <v>Execução de Corte e destocamento de árvore de grande porte com diâmetro médio de 50 cm</v>
          </cell>
          <cell r="C92" t="str">
            <v>UN</v>
          </cell>
          <cell r="D92">
            <v>115.7876</v>
          </cell>
        </row>
        <row r="93">
          <cell r="A93" t="str">
            <v>001.02.00080</v>
          </cell>
          <cell r="B93" t="str">
            <v>Execução de Roçado em capoeirão c/empilhamento e queima de resíduos</v>
          </cell>
          <cell r="C93" t="str">
            <v>M2</v>
          </cell>
          <cell r="D93">
            <v>0.2762</v>
          </cell>
        </row>
        <row r="94">
          <cell r="A94" t="str">
            <v>001.02.00100</v>
          </cell>
          <cell r="B94" t="str">
            <v>Execução de Capinação de terreno inclusive retirada (bota fora)</v>
          </cell>
          <cell r="C94" t="str">
            <v>M2</v>
          </cell>
          <cell r="D94">
            <v>0.3831</v>
          </cell>
        </row>
        <row r="95">
          <cell r="A95" t="str">
            <v>001.02.00120</v>
          </cell>
          <cell r="B95" t="str">
            <v>Execução de Limpeza do terreno c/ retirada dos entulhos e queima dos mesmos</v>
          </cell>
          <cell r="C95" t="str">
            <v>M2</v>
          </cell>
          <cell r="D95">
            <v>0.30649999999999999</v>
          </cell>
        </row>
        <row r="96">
          <cell r="A96" t="str">
            <v>001.02.00140</v>
          </cell>
          <cell r="B96" t="str">
            <v>Fornecimento e Instalação de Tapume em chapa de madeira compensada 6.00 mm de espessura</v>
          </cell>
          <cell r="C96" t="str">
            <v>M2</v>
          </cell>
          <cell r="D96">
            <v>17.801600000000001</v>
          </cell>
        </row>
        <row r="97">
          <cell r="A97" t="str">
            <v>001.02.00160</v>
          </cell>
          <cell r="B97" t="str">
            <v>Fornecimento e Instalação de Tapume em Chapa Metálica e Fixado em Pilar de Madeira, com Parafusos Auto-Atarrachante,conf. det. SINFRA ( 8 Reaproveitamentos)</v>
          </cell>
          <cell r="C97" t="str">
            <v>ML</v>
          </cell>
          <cell r="D97">
            <v>18.940000000000001</v>
          </cell>
        </row>
        <row r="98">
          <cell r="A98" t="str">
            <v>001.02.00180</v>
          </cell>
          <cell r="B98" t="str">
            <v>Execução de barracão de obra para alojamento</v>
          </cell>
          <cell r="C98" t="str">
            <v>M2</v>
          </cell>
          <cell r="D98">
            <v>65.5886</v>
          </cell>
        </row>
        <row r="99">
          <cell r="A99" t="str">
            <v>001.02.00200</v>
          </cell>
          <cell r="B99" t="str">
            <v>Execução de barracão de obra para depósito ou refeitório</v>
          </cell>
          <cell r="C99" t="str">
            <v>M2</v>
          </cell>
          <cell r="D99">
            <v>63.109499999999997</v>
          </cell>
        </row>
        <row r="100">
          <cell r="A100" t="str">
            <v>001.02.00220</v>
          </cell>
          <cell r="B100" t="str">
            <v>Instalações Provisórias em Estrutura Metálica Tipo Conteiner (Almoxarifado, Depósito, Escritório, Ferramentaria, etc.) dim. 1.50x1.80x3.00 mts</v>
          </cell>
          <cell r="C100" t="str">
            <v>MêS</v>
          </cell>
          <cell r="D100">
            <v>180</v>
          </cell>
        </row>
        <row r="101">
          <cell r="A101" t="str">
            <v>001.02.00240</v>
          </cell>
          <cell r="B101" t="str">
            <v>Execução de instalação provisória de água e esgoto</v>
          </cell>
          <cell r="C101" t="str">
            <v>UN</v>
          </cell>
          <cell r="D101">
            <v>788.17970000000003</v>
          </cell>
        </row>
        <row r="102">
          <cell r="A102" t="str">
            <v>001.02.00260</v>
          </cell>
          <cell r="B102" t="str">
            <v>Execução de instalação provisória de luz e força</v>
          </cell>
          <cell r="C102" t="str">
            <v>UN</v>
          </cell>
          <cell r="D102">
            <v>818.73800000000006</v>
          </cell>
        </row>
        <row r="103">
          <cell r="A103" t="str">
            <v>001.02.00280</v>
          </cell>
          <cell r="B103" t="str">
            <v>Fornecimento e instalação de placa de obra,de 5,00x3,00m,conforme detalhe da seet</v>
          </cell>
          <cell r="C103" t="str">
            <v>UN</v>
          </cell>
          <cell r="D103">
            <v>1010.5195</v>
          </cell>
        </row>
        <row r="104">
          <cell r="A104" t="str">
            <v>001.02.00300</v>
          </cell>
          <cell r="B104" t="str">
            <v>Fornecimento e instalação de placa de obra</v>
          </cell>
          <cell r="C104" t="str">
            <v>M2</v>
          </cell>
          <cell r="D104">
            <v>73.533500000000004</v>
          </cell>
        </row>
        <row r="105">
          <cell r="A105" t="str">
            <v>001.02.00320</v>
          </cell>
          <cell r="B105" t="str">
            <v>Execução de locação da obra c/aparelhos topográficos p/medição considerar as faces externas das paredes</v>
          </cell>
          <cell r="C105" t="str">
            <v>M2</v>
          </cell>
          <cell r="D105">
            <v>1.2146999999999999</v>
          </cell>
        </row>
        <row r="106">
          <cell r="A106" t="str">
            <v>001.02.00340</v>
          </cell>
          <cell r="B106" t="str">
            <v>Execução de locação da obra c/tábuas corridas p/medição considerar as faces externas das paredes</v>
          </cell>
          <cell r="C106" t="str">
            <v>M2</v>
          </cell>
          <cell r="D106">
            <v>2.7145999999999999</v>
          </cell>
        </row>
        <row r="107">
          <cell r="A107" t="str">
            <v>001.02.00360</v>
          </cell>
          <cell r="B107" t="str">
            <v>Locação de linhas estaqueadas de 20 em 20 m para construção de muro, sem nivelamento</v>
          </cell>
          <cell r="C107" t="str">
            <v>ML</v>
          </cell>
          <cell r="D107">
            <v>1.5182</v>
          </cell>
        </row>
        <row r="108">
          <cell r="A108" t="str">
            <v>001.02.00380</v>
          </cell>
          <cell r="B108" t="str">
            <v>Locação de linhas estaqueadas de 20 em 20 m para construção de muro, com nivelamento</v>
          </cell>
          <cell r="C108" t="str">
            <v>ML</v>
          </cell>
          <cell r="D108">
            <v>2.4291999999999998</v>
          </cell>
        </row>
        <row r="109">
          <cell r="A109" t="str">
            <v>001.03</v>
          </cell>
          <cell r="B109" t="str">
            <v>ADMINISTRAÇÃO LOCAL DA OBRA</v>
          </cell>
        </row>
        <row r="110">
          <cell r="A110" t="str">
            <v>001.03.00020</v>
          </cell>
          <cell r="B110" t="str">
            <v>Engenheiro Residente</v>
          </cell>
          <cell r="C110" t="str">
            <v>MêS</v>
          </cell>
          <cell r="D110">
            <v>4214.5803999999998</v>
          </cell>
        </row>
        <row r="111">
          <cell r="A111" t="str">
            <v>001.03.00040</v>
          </cell>
          <cell r="B111" t="str">
            <v>Técnico em Edificações</v>
          </cell>
          <cell r="C111" t="str">
            <v>MêS</v>
          </cell>
          <cell r="D111">
            <v>1659.7583</v>
          </cell>
        </row>
        <row r="112">
          <cell r="A112" t="str">
            <v>001.03.00060</v>
          </cell>
          <cell r="B112" t="str">
            <v>Estagiário</v>
          </cell>
          <cell r="C112" t="str">
            <v>MêS</v>
          </cell>
          <cell r="D112">
            <v>528.80999999999995</v>
          </cell>
        </row>
        <row r="113">
          <cell r="A113" t="str">
            <v>001.03.00080</v>
          </cell>
          <cell r="B113" t="str">
            <v>Técnico de Segurança</v>
          </cell>
          <cell r="C113" t="str">
            <v>MêS</v>
          </cell>
          <cell r="D113">
            <v>1829.3477</v>
          </cell>
        </row>
        <row r="114">
          <cell r="A114" t="str">
            <v>001.03.00100</v>
          </cell>
          <cell r="B114" t="str">
            <v>Mestre de Obras</v>
          </cell>
          <cell r="C114" t="str">
            <v>MêS</v>
          </cell>
          <cell r="D114">
            <v>2815.3843999999999</v>
          </cell>
        </row>
        <row r="115">
          <cell r="A115" t="str">
            <v>001.03.00120</v>
          </cell>
          <cell r="B115" t="str">
            <v>Encarregado Geral de Obras</v>
          </cell>
          <cell r="C115" t="str">
            <v>MêS</v>
          </cell>
          <cell r="D115">
            <v>1334.3639000000001</v>
          </cell>
        </row>
        <row r="116">
          <cell r="A116" t="str">
            <v>001.03.00140</v>
          </cell>
          <cell r="B116" t="str">
            <v>Sub - Encarregado de Obras ( Encarregado de Forma, Encarregado de Armação, Encarregado de Instalações, Encarregado de Pintura, etc.)</v>
          </cell>
          <cell r="C116" t="str">
            <v>MêS</v>
          </cell>
          <cell r="D116">
            <v>1126.3652999999999</v>
          </cell>
        </row>
        <row r="117">
          <cell r="A117" t="str">
            <v>001.03.00160</v>
          </cell>
          <cell r="B117" t="str">
            <v>Almoxarife</v>
          </cell>
          <cell r="C117" t="str">
            <v>MêS</v>
          </cell>
          <cell r="D117">
            <v>1097.4570000000001</v>
          </cell>
        </row>
        <row r="118">
          <cell r="A118" t="str">
            <v>001.03.00180</v>
          </cell>
          <cell r="B118" t="str">
            <v>Apontador</v>
          </cell>
          <cell r="C118" t="str">
            <v>MêS</v>
          </cell>
          <cell r="D118">
            <v>888.04830000000004</v>
          </cell>
        </row>
        <row r="119">
          <cell r="A119" t="str">
            <v>001.03.00200</v>
          </cell>
          <cell r="B119" t="str">
            <v>Bombeiro/Eletricista Montador</v>
          </cell>
          <cell r="C119" t="str">
            <v>MêS</v>
          </cell>
          <cell r="D119">
            <v>977.24090000000001</v>
          </cell>
        </row>
        <row r="120">
          <cell r="A120" t="str">
            <v>001.03.00220</v>
          </cell>
          <cell r="B120" t="str">
            <v>Vigia</v>
          </cell>
          <cell r="C120" t="str">
            <v>MêS</v>
          </cell>
          <cell r="D120">
            <v>694.36279999999999</v>
          </cell>
        </row>
        <row r="121">
          <cell r="A121" t="str">
            <v>001.04</v>
          </cell>
          <cell r="B121" t="str">
            <v>TAXAS E EMOLUMENTOS</v>
          </cell>
        </row>
        <row r="122">
          <cell r="A122" t="str">
            <v>001.04.00020</v>
          </cell>
          <cell r="B122" t="str">
            <v>CREA - Certidão de Registro de Contrato</v>
          </cell>
          <cell r="C122" t="str">
            <v>UN</v>
          </cell>
          <cell r="D122">
            <v>43</v>
          </cell>
        </row>
        <row r="123">
          <cell r="A123" t="str">
            <v>001.04.00040</v>
          </cell>
          <cell r="B123" t="str">
            <v>CREA - Certidão de Baixa ou Conclusão de Obra</v>
          </cell>
          <cell r="C123" t="str">
            <v>UN</v>
          </cell>
          <cell r="D123">
            <v>43</v>
          </cell>
        </row>
        <row r="124">
          <cell r="A124" t="str">
            <v>001.04.00060</v>
          </cell>
          <cell r="B124" t="str">
            <v>CREA - Taxa de Registro de Contrato Até R$ 6.000,00</v>
          </cell>
          <cell r="C124" t="str">
            <v>UN</v>
          </cell>
          <cell r="D124">
            <v>26</v>
          </cell>
        </row>
        <row r="125">
          <cell r="A125" t="str">
            <v>001.04.00080</v>
          </cell>
          <cell r="B125" t="str">
            <v>CREA - Taxa de Registro de Contrato de R$ 6.001,00 Até R$ 11.753,00</v>
          </cell>
          <cell r="C125" t="str">
            <v>UN</v>
          </cell>
          <cell r="D125">
            <v>68</v>
          </cell>
        </row>
        <row r="126">
          <cell r="A126" t="str">
            <v>001.04.00100</v>
          </cell>
          <cell r="B126" t="str">
            <v>CREA - Taxa de Registro de Contrato de R$ 11.753,01 Até R$ 23.505,00</v>
          </cell>
          <cell r="C126" t="str">
            <v>UN</v>
          </cell>
          <cell r="D126">
            <v>136</v>
          </cell>
        </row>
        <row r="127">
          <cell r="A127" t="str">
            <v>001.04.00120</v>
          </cell>
          <cell r="B127" t="str">
            <v>CREA - Taxa de Registro de Contrato de R$ 23.505,01 Até R$ 41.135,00</v>
          </cell>
          <cell r="C127" t="str">
            <v>UN</v>
          </cell>
          <cell r="D127">
            <v>204</v>
          </cell>
        </row>
        <row r="128">
          <cell r="A128" t="str">
            <v>001.04.00140</v>
          </cell>
          <cell r="B128" t="str">
            <v>CREA - Taxa de Registro de Contrato de R$ 41.135,01 Até R$ 61.114,00</v>
          </cell>
          <cell r="C128" t="str">
            <v>UN</v>
          </cell>
          <cell r="D128">
            <v>272</v>
          </cell>
        </row>
        <row r="129">
          <cell r="A129" t="str">
            <v>001.04.00160</v>
          </cell>
          <cell r="B129" t="str">
            <v>CREA - Taxa de Registro de Contrato de R$ 61.114,01 Até R$ 76.393,00</v>
          </cell>
          <cell r="C129" t="str">
            <v>UN</v>
          </cell>
          <cell r="D129">
            <v>323</v>
          </cell>
        </row>
        <row r="130">
          <cell r="A130" t="str">
            <v>001.04.00180</v>
          </cell>
          <cell r="B130" t="str">
            <v>CREA - Taxa de Registro de Contrato de R$ 76.393,01 Até R$ 95.785,00</v>
          </cell>
          <cell r="C130" t="str">
            <v>UN</v>
          </cell>
          <cell r="D130">
            <v>391</v>
          </cell>
        </row>
        <row r="131">
          <cell r="A131" t="str">
            <v>001.04.00200</v>
          </cell>
          <cell r="B131" t="str">
            <v>CREA - Taxa de Registro de Contrato Acima de R$ 95.785,01</v>
          </cell>
          <cell r="C131" t="str">
            <v>UN</v>
          </cell>
          <cell r="D131">
            <v>424</v>
          </cell>
        </row>
        <row r="132">
          <cell r="A132" t="str">
            <v>001.04.00220</v>
          </cell>
          <cell r="B132" t="str">
            <v>PREFEITURA - Aprovação de Projeto de Edificações - Institucional Até 150.00 m2</v>
          </cell>
          <cell r="C132" t="str">
            <v>M2</v>
          </cell>
          <cell r="D132">
            <v>0.87</v>
          </cell>
        </row>
        <row r="133">
          <cell r="A133" t="str">
            <v>001.04.00240</v>
          </cell>
          <cell r="B133" t="str">
            <v>PREFEITURA - Aprovação de Projeto de Edificações - Institucional de 151.00 m2 Até 500.00 m2</v>
          </cell>
          <cell r="C133" t="str">
            <v>M2</v>
          </cell>
          <cell r="D133">
            <v>1.3</v>
          </cell>
        </row>
        <row r="134">
          <cell r="A134" t="str">
            <v>001.04.00260</v>
          </cell>
          <cell r="B134" t="str">
            <v>PREFEITURA - Aprovação de Projeto de Edificações - Institucional Acima de 500.00 m2</v>
          </cell>
          <cell r="C134" t="str">
            <v>M2</v>
          </cell>
          <cell r="D134">
            <v>1.75</v>
          </cell>
        </row>
        <row r="135">
          <cell r="A135" t="str">
            <v>001.04.00280</v>
          </cell>
          <cell r="B135" t="str">
            <v>PREFEITURA - Alvará de Obra</v>
          </cell>
          <cell r="C135" t="str">
            <v>UN</v>
          </cell>
          <cell r="D135">
            <v>72.72</v>
          </cell>
        </row>
        <row r="136">
          <cell r="A136" t="str">
            <v>001.04.00300</v>
          </cell>
          <cell r="B136" t="str">
            <v>PREFEITURA - Alvará de Reforma</v>
          </cell>
          <cell r="C136" t="str">
            <v>UN</v>
          </cell>
          <cell r="D136">
            <v>87.28</v>
          </cell>
        </row>
        <row r="137">
          <cell r="A137" t="str">
            <v>001.04.00320</v>
          </cell>
          <cell r="B137" t="str">
            <v>PREFEITURA - Habite-se - Institucional</v>
          </cell>
          <cell r="C137" t="str">
            <v>M2</v>
          </cell>
          <cell r="D137">
            <v>0.66</v>
          </cell>
        </row>
        <row r="138">
          <cell r="A138" t="str">
            <v>001.04.00340</v>
          </cell>
          <cell r="B138" t="str">
            <v>CORPO DE BOMBEIROS - Vistoria Para Concessão de Carta Para Habite-se em Imóvel que se Enquadre nas Especificações para Instalações de Proteção Contra Incêndio - Efetuada em Área que não Ultrapasse 750.00 m2</v>
          </cell>
          <cell r="C138" t="str">
            <v>UN</v>
          </cell>
          <cell r="D138">
            <v>87.57</v>
          </cell>
        </row>
        <row r="139">
          <cell r="A139" t="str">
            <v>001.04.00360</v>
          </cell>
          <cell r="B139" t="str">
            <v>CORPO DE BOMBEIROS - Vistoria Para Concessão de Carta Para Habite-se em Imóvel que se Enquadre nas Especificações para Instalações de Proteção Contra Incêndio - Por m2 que Exceda  750.00 m2</v>
          </cell>
          <cell r="C139" t="str">
            <v>M2</v>
          </cell>
          <cell r="D139">
            <v>0.2049</v>
          </cell>
        </row>
        <row r="140">
          <cell r="A140" t="str">
            <v>001.04.00380</v>
          </cell>
          <cell r="B140" t="str">
            <v>CORPO DE BOMBEIROS - Consulta Prévia - Edificação Para Uso Institucional - Referente a Área de Até 750.00 m2</v>
          </cell>
          <cell r="C140" t="str">
            <v>UN</v>
          </cell>
          <cell r="D140">
            <v>192.15</v>
          </cell>
        </row>
        <row r="141">
          <cell r="A141" t="str">
            <v>001.04.00400</v>
          </cell>
          <cell r="B141" t="str">
            <v>CORPO DE BOMBEIROS - Consulta Prévia - Edificação Para Uso Institucional - Referente a Área de Até 750.00 m2</v>
          </cell>
          <cell r="C141" t="str">
            <v>M2</v>
          </cell>
          <cell r="D141">
            <v>0.38400000000000001</v>
          </cell>
        </row>
        <row r="142">
          <cell r="A142" t="str">
            <v>001.05</v>
          </cell>
          <cell r="B142" t="str">
            <v>CUSTO DE MANUTENÇÃO DE ADMINISTRAÇÃO LOCAL</v>
          </cell>
        </row>
        <row r="143">
          <cell r="A143" t="str">
            <v>001.05.00020</v>
          </cell>
          <cell r="B143" t="str">
            <v>Telefone De Obra</v>
          </cell>
          <cell r="C143" t="str">
            <v>MêS</v>
          </cell>
          <cell r="D143">
            <v>100</v>
          </cell>
        </row>
        <row r="144">
          <cell r="A144" t="str">
            <v>001.05.00040</v>
          </cell>
          <cell r="B144" t="str">
            <v>Internet Para Obra</v>
          </cell>
          <cell r="C144" t="str">
            <v>MêS</v>
          </cell>
          <cell r="D144">
            <v>50</v>
          </cell>
        </row>
        <row r="145">
          <cell r="A145" t="str">
            <v>001.05.00060</v>
          </cell>
          <cell r="B145" t="str">
            <v>Tarifa de Consumo de Energia Da Obra - Nível Carta Convite</v>
          </cell>
          <cell r="C145" t="str">
            <v>MêS</v>
          </cell>
          <cell r="D145">
            <v>150</v>
          </cell>
        </row>
        <row r="146">
          <cell r="A146" t="str">
            <v>001.05.00080</v>
          </cell>
          <cell r="B146" t="str">
            <v>Tarifa de Consumo de Energia Da Obra - Nível Tomada De Preços</v>
          </cell>
          <cell r="C146" t="str">
            <v>MêS</v>
          </cell>
          <cell r="D146">
            <v>300</v>
          </cell>
        </row>
        <row r="147">
          <cell r="A147" t="str">
            <v>001.05.00100</v>
          </cell>
          <cell r="B147" t="str">
            <v>Tarifa de Consumo de Energia Da Obra - Nível Concorrência Pública</v>
          </cell>
          <cell r="C147" t="str">
            <v>MêS</v>
          </cell>
          <cell r="D147">
            <v>600</v>
          </cell>
        </row>
        <row r="148">
          <cell r="A148" t="str">
            <v>001.05.00120</v>
          </cell>
          <cell r="B148" t="str">
            <v>Tarifa de Consumo de Água Da Obra - Nível Carta Convite</v>
          </cell>
          <cell r="C148" t="str">
            <v>MêS</v>
          </cell>
          <cell r="D148">
            <v>75</v>
          </cell>
        </row>
        <row r="149">
          <cell r="A149" t="str">
            <v>001.05.00140</v>
          </cell>
          <cell r="B149" t="str">
            <v>Tarifa de Consumo de Água Da Obra - Nível Tomada De Preços</v>
          </cell>
          <cell r="C149" t="str">
            <v>MêS</v>
          </cell>
          <cell r="D149">
            <v>150</v>
          </cell>
        </row>
        <row r="150">
          <cell r="A150" t="str">
            <v>001.05.00160</v>
          </cell>
          <cell r="B150" t="str">
            <v>Tarifa de Consumo de Água Da Obra - Nível Concorrência Pública</v>
          </cell>
          <cell r="C150" t="str">
            <v>MêS</v>
          </cell>
          <cell r="D150">
            <v>300</v>
          </cell>
        </row>
        <row r="151">
          <cell r="A151" t="str">
            <v>001.05.00180</v>
          </cell>
          <cell r="B151" t="str">
            <v>Material de Expediente Para Obra</v>
          </cell>
          <cell r="C151" t="str">
            <v>VB</v>
          </cell>
          <cell r="D151">
            <v>100</v>
          </cell>
        </row>
        <row r="152">
          <cell r="A152" t="str">
            <v>001.05.00200</v>
          </cell>
          <cell r="B152" t="str">
            <v>Cópias de Projetos Para Aprovação Na Prefeitura, Crea, Corpo de Bombeiros, Administração Central e Obra</v>
          </cell>
          <cell r="C152" t="str">
            <v>VB</v>
          </cell>
          <cell r="D152">
            <v>100</v>
          </cell>
        </row>
        <row r="153">
          <cell r="A153" t="str">
            <v>001.05.00220</v>
          </cell>
          <cell r="B153" t="str">
            <v>Material de Primeiros Socorros</v>
          </cell>
          <cell r="C153" t="str">
            <v>VB</v>
          </cell>
          <cell r="D153">
            <v>50</v>
          </cell>
        </row>
        <row r="154">
          <cell r="A154" t="str">
            <v>001.06</v>
          </cell>
          <cell r="B154" t="str">
            <v>CUSTOS DIVERSOS DE ADMINISTRAÇÃO LOCAL</v>
          </cell>
        </row>
        <row r="155">
          <cell r="A155" t="str">
            <v>001.06.00020</v>
          </cell>
          <cell r="B155" t="str">
            <v>Aluguel de Casa Para Funcionários</v>
          </cell>
          <cell r="C155" t="str">
            <v>MêS</v>
          </cell>
          <cell r="D155">
            <v>400</v>
          </cell>
        </row>
        <row r="156">
          <cell r="A156" t="str">
            <v>001.06.00040</v>
          </cell>
          <cell r="B156" t="str">
            <v>Mobilização de Pessoal ( 04 Vagas Para Retorno da Obra Por Mês)</v>
          </cell>
          <cell r="C156" t="str">
            <v>MêS</v>
          </cell>
          <cell r="D156">
            <v>142</v>
          </cell>
        </row>
        <row r="157">
          <cell r="A157" t="str">
            <v>001.06.00060</v>
          </cell>
          <cell r="B157" t="str">
            <v>Combustível Para Viajem da Diretoria da Empresa à Obra</v>
          </cell>
          <cell r="C157" t="str">
            <v>MêS</v>
          </cell>
          <cell r="D157">
            <v>200</v>
          </cell>
        </row>
        <row r="158">
          <cell r="A158" t="str">
            <v>001.06.00080</v>
          </cell>
          <cell r="B158" t="str">
            <v>Hospedagem da Diretoria em Visita a Obra</v>
          </cell>
          <cell r="C158" t="str">
            <v>MêS</v>
          </cell>
          <cell r="D158">
            <v>100</v>
          </cell>
        </row>
        <row r="159">
          <cell r="A159" t="str">
            <v>001.06.00100</v>
          </cell>
          <cell r="B159" t="str">
            <v>Seguro de Obras - Coletivo Para  Obras de Até 20 Colaboradores Apólice R$ 20.000,00 Por Colaborador</v>
          </cell>
          <cell r="C159" t="str">
            <v>MêS</v>
          </cell>
          <cell r="D159">
            <v>152</v>
          </cell>
        </row>
        <row r="160">
          <cell r="A160" t="str">
            <v>001.06.00120</v>
          </cell>
          <cell r="B160" t="str">
            <v>Seguro de Obras - Coletivo Para  Obras de Até 40 Colaboradores Apólice R$ 20.000,00 Por Colaborador</v>
          </cell>
          <cell r="C160" t="str">
            <v>MêS</v>
          </cell>
          <cell r="D160">
            <v>304</v>
          </cell>
        </row>
        <row r="161">
          <cell r="A161" t="str">
            <v>001.06.00140</v>
          </cell>
          <cell r="B161" t="str">
            <v>Seguro de Obras - Coletivo Para  Obras de Até 60 Colaboradores Apólice R$ 20.000,00 Por Colaborador</v>
          </cell>
          <cell r="C161" t="str">
            <v>MêS</v>
          </cell>
          <cell r="D161">
            <v>456</v>
          </cell>
        </row>
        <row r="162">
          <cell r="A162" t="str">
            <v>001.07</v>
          </cell>
          <cell r="B162" t="str">
            <v>LOCAÇÃO DE EQUIPAMENTOS</v>
          </cell>
        </row>
        <row r="163">
          <cell r="A163" t="str">
            <v>001.07.00020</v>
          </cell>
          <cell r="B163" t="str">
            <v>Andaimes ( 02 Peças 1.00 x 1.50 mts / mês )</v>
          </cell>
          <cell r="C163" t="str">
            <v>ml</v>
          </cell>
          <cell r="D163">
            <v>6</v>
          </cell>
        </row>
        <row r="164">
          <cell r="A164" t="str">
            <v>001.07.00040</v>
          </cell>
          <cell r="B164" t="str">
            <v>Motor Vibrador</v>
          </cell>
          <cell r="C164" t="str">
            <v>MêS</v>
          </cell>
          <cell r="D164">
            <v>110</v>
          </cell>
        </row>
        <row r="165">
          <cell r="A165" t="str">
            <v>001.07.00060</v>
          </cell>
          <cell r="B165" t="str">
            <v>Mangote Para Motor Vibrador</v>
          </cell>
          <cell r="C165" t="str">
            <v>MêS</v>
          </cell>
          <cell r="D165">
            <v>70</v>
          </cell>
        </row>
        <row r="166">
          <cell r="A166" t="str">
            <v>001.07.00080</v>
          </cell>
          <cell r="B166" t="str">
            <v>Sapo Mecânico</v>
          </cell>
          <cell r="C166" t="str">
            <v>MêS</v>
          </cell>
          <cell r="D166">
            <v>500</v>
          </cell>
        </row>
        <row r="167">
          <cell r="A167" t="str">
            <v>001.07.00100</v>
          </cell>
          <cell r="B167" t="str">
            <v>Alisadora de Concreto</v>
          </cell>
          <cell r="C167" t="str">
            <v>MêS</v>
          </cell>
          <cell r="D167">
            <v>550</v>
          </cell>
        </row>
        <row r="168">
          <cell r="A168" t="str">
            <v>001.07.00120</v>
          </cell>
          <cell r="B168" t="str">
            <v>Cortadora Industrial de Piso</v>
          </cell>
          <cell r="C168" t="str">
            <v>MêS</v>
          </cell>
          <cell r="D168">
            <v>650</v>
          </cell>
        </row>
        <row r="169">
          <cell r="A169" t="str">
            <v>001.07.00140</v>
          </cell>
          <cell r="B169" t="str">
            <v>Compressor Para Martelo Demolidor</v>
          </cell>
          <cell r="C169" t="str">
            <v>MêS</v>
          </cell>
          <cell r="D169">
            <v>185</v>
          </cell>
        </row>
        <row r="170">
          <cell r="A170" t="str">
            <v>001.07.00160</v>
          </cell>
          <cell r="B170" t="str">
            <v>Martelo Demolidor</v>
          </cell>
          <cell r="C170" t="str">
            <v>MêS</v>
          </cell>
          <cell r="D170">
            <v>45</v>
          </cell>
        </row>
        <row r="171">
          <cell r="A171" t="str">
            <v>001.07.00220</v>
          </cell>
          <cell r="B171" t="str">
            <v>Grupo Motor Gerador 12,5 Cv</v>
          </cell>
          <cell r="C171" t="str">
            <v>MêS</v>
          </cell>
          <cell r="D171">
            <v>400</v>
          </cell>
        </row>
        <row r="172">
          <cell r="A172" t="str">
            <v>001.07.00240</v>
          </cell>
          <cell r="B172" t="str">
            <v>Bebedouro Elétrico 80 Lts</v>
          </cell>
          <cell r="C172" t="str">
            <v>MêS</v>
          </cell>
          <cell r="D172">
            <v>35</v>
          </cell>
        </row>
        <row r="173">
          <cell r="A173" t="str">
            <v>001.08</v>
          </cell>
          <cell r="B173" t="str">
            <v>DEMOLIÇÃO E RETIRADA</v>
          </cell>
        </row>
        <row r="174">
          <cell r="A174" t="str">
            <v>001.08.00020</v>
          </cell>
          <cell r="B174" t="str">
            <v>Demolição de cobertura construída c/telha de barro ou cerâmica</v>
          </cell>
          <cell r="C174" t="str">
            <v>M2</v>
          </cell>
          <cell r="D174">
            <v>2.6255999999999999</v>
          </cell>
        </row>
        <row r="175">
          <cell r="A175" t="str">
            <v>001.08.00040</v>
          </cell>
          <cell r="B175" t="str">
            <v>Demolição de cobertura construída c/telha de cimento amianto, alumínio, plastico e ferro galvanizado</v>
          </cell>
          <cell r="C175" t="str">
            <v>M2</v>
          </cell>
          <cell r="D175">
            <v>1.0940000000000001</v>
          </cell>
        </row>
        <row r="176">
          <cell r="A176" t="str">
            <v>001.08.00060</v>
          </cell>
          <cell r="B176" t="str">
            <v>Demolição de madeiramento de telhado constituído por tesouras (telha de barro)</v>
          </cell>
          <cell r="C176" t="str">
            <v>M2</v>
          </cell>
          <cell r="D176">
            <v>3.9527999999999999</v>
          </cell>
        </row>
        <row r="177">
          <cell r="A177" t="str">
            <v>001.08.00080</v>
          </cell>
          <cell r="B177" t="str">
            <v>Demolição de madeiramento de telhado constituído por tesouras (telha de cimento aminato e alumínio)</v>
          </cell>
          <cell r="C177" t="str">
            <v>M2</v>
          </cell>
          <cell r="D177">
            <v>3.4072</v>
          </cell>
        </row>
        <row r="178">
          <cell r="A178" t="str">
            <v>001.08.00100</v>
          </cell>
          <cell r="B178" t="str">
            <v>Demolição de madeiramento de telhado tipo pontaletados (telhas de barro)</v>
          </cell>
          <cell r="C178" t="str">
            <v>M2</v>
          </cell>
          <cell r="D178">
            <v>2.9437000000000002</v>
          </cell>
        </row>
        <row r="179">
          <cell r="A179" t="str">
            <v>001.08.00120</v>
          </cell>
          <cell r="B179" t="str">
            <v>Demolição de madeiramento de telhado tipo pontaletados (telhas de cimento aminato ou alumínio)</v>
          </cell>
          <cell r="C179" t="str">
            <v>M2</v>
          </cell>
          <cell r="D179">
            <v>2.9437000000000002</v>
          </cell>
        </row>
        <row r="180">
          <cell r="A180" t="str">
            <v>001.08.00140</v>
          </cell>
          <cell r="B180" t="str">
            <v>Demolição de Ripamento em Cobertura Barro ou Cerâmica</v>
          </cell>
          <cell r="C180" t="str">
            <v>M2</v>
          </cell>
          <cell r="D180">
            <v>0.19159999999999999</v>
          </cell>
        </row>
        <row r="181">
          <cell r="A181" t="str">
            <v>001.08.00160</v>
          </cell>
          <cell r="B181" t="str">
            <v>Demolição de estrutura de ferro  para  telhados</v>
          </cell>
          <cell r="C181" t="str">
            <v>M2</v>
          </cell>
          <cell r="D181">
            <v>8.1109000000000009</v>
          </cell>
        </row>
        <row r="182">
          <cell r="A182" t="str">
            <v>001.08.00180</v>
          </cell>
          <cell r="B182" t="str">
            <v>Retirada de cobertura de madeira - caibros e vigas</v>
          </cell>
          <cell r="C182" t="str">
            <v>ML</v>
          </cell>
          <cell r="D182">
            <v>0.20169999999999999</v>
          </cell>
        </row>
        <row r="183">
          <cell r="A183" t="str">
            <v>001.08.00200</v>
          </cell>
          <cell r="B183" t="str">
            <v>Retirada de cobertura de madeira - ripas</v>
          </cell>
          <cell r="C183" t="str">
            <v>ML</v>
          </cell>
          <cell r="D183">
            <v>0.1008</v>
          </cell>
        </row>
        <row r="184">
          <cell r="A184" t="str">
            <v>001.08.00220</v>
          </cell>
          <cell r="B184" t="str">
            <v>Retirada de cobertura em telhas de barro s/aproveitamento das cumeeiras e espigões</v>
          </cell>
          <cell r="C184" t="str">
            <v>UN</v>
          </cell>
          <cell r="D184">
            <v>0.27839999999999998</v>
          </cell>
        </row>
        <row r="185">
          <cell r="A185" t="str">
            <v>001.08.00240</v>
          </cell>
          <cell r="B185" t="str">
            <v>Retirada de cobertura em telhas de cimento aminato, alumínio, plástico ou ferro galvanizado</v>
          </cell>
          <cell r="C185" t="str">
            <v>UN</v>
          </cell>
          <cell r="D185">
            <v>3.7120000000000002</v>
          </cell>
        </row>
        <row r="186">
          <cell r="A186" t="str">
            <v>001.08.00260</v>
          </cell>
          <cell r="B186" t="str">
            <v>Retirada de cobertura em telhas cerãmicas ( plan , colonial , francesa , etc. )</v>
          </cell>
          <cell r="C186" t="str">
            <v>M2</v>
          </cell>
          <cell r="D186">
            <v>2.4605000000000001</v>
          </cell>
        </row>
        <row r="187">
          <cell r="A187" t="str">
            <v>001.08.00280</v>
          </cell>
          <cell r="B187" t="str">
            <v>Retirada de cobertura em telhas de cimento aminato, alumínio, plástico e c.g.</v>
          </cell>
          <cell r="C187" t="str">
            <v>M2</v>
          </cell>
          <cell r="D187">
            <v>1.3110999999999999</v>
          </cell>
        </row>
        <row r="188">
          <cell r="A188" t="str">
            <v>001.08.00300</v>
          </cell>
          <cell r="B188" t="str">
            <v>Retirada de madeiramento de telhado constituído por tesouras (telha de barro)</v>
          </cell>
          <cell r="C188" t="str">
            <v>M2</v>
          </cell>
          <cell r="D188">
            <v>3.0251000000000001</v>
          </cell>
        </row>
        <row r="189">
          <cell r="A189" t="str">
            <v>001.08.00320</v>
          </cell>
          <cell r="B189" t="str">
            <v>Retirada de madeiramento de telhado constituído por tesouras (telha de cimento amianto ou alumínio)</v>
          </cell>
          <cell r="C189" t="str">
            <v>M2</v>
          </cell>
          <cell r="D189">
            <v>2.5209999999999999</v>
          </cell>
        </row>
        <row r="190">
          <cell r="A190" t="str">
            <v>001.08.00340</v>
          </cell>
          <cell r="B190" t="str">
            <v>Retirada de madeiramento de telhado tipo pontaletados (telhas de barro)</v>
          </cell>
          <cell r="C190" t="str">
            <v>M2</v>
          </cell>
          <cell r="D190">
            <v>2.0167999999999999</v>
          </cell>
        </row>
        <row r="191">
          <cell r="A191" t="str">
            <v>001.08.00360</v>
          </cell>
          <cell r="B191" t="str">
            <v>Retirada de madeiramento de telhado tipo pontaletados (telhas de cimento amianto ou alumínio)</v>
          </cell>
          <cell r="C191" t="str">
            <v>M2</v>
          </cell>
          <cell r="D191">
            <v>1.8150999999999999</v>
          </cell>
        </row>
        <row r="192">
          <cell r="A192" t="str">
            <v>001.08.00380</v>
          </cell>
          <cell r="B192" t="str">
            <v>Retirada de calhas e rufos metálicos</v>
          </cell>
          <cell r="C192" t="str">
            <v>M2</v>
          </cell>
          <cell r="D192">
            <v>3.0714999999999999</v>
          </cell>
        </row>
        <row r="193">
          <cell r="A193" t="str">
            <v>001.08.00400</v>
          </cell>
          <cell r="B193" t="str">
            <v>Demolição de revestimento de argamassa de cal e areia (inclusive emboço)</v>
          </cell>
          <cell r="C193" t="str">
            <v>M2</v>
          </cell>
          <cell r="D193">
            <v>1.9156</v>
          </cell>
        </row>
        <row r="194">
          <cell r="A194" t="str">
            <v>001.08.00420</v>
          </cell>
          <cell r="B194" t="str">
            <v>Demolição de revestimento de argamassa mista (inclusive emboço)</v>
          </cell>
          <cell r="C194" t="str">
            <v>M2</v>
          </cell>
          <cell r="D194">
            <v>2.8733</v>
          </cell>
        </row>
        <row r="195">
          <cell r="A195" t="str">
            <v>001.08.00440</v>
          </cell>
          <cell r="B195" t="str">
            <v>Demolição de revestimento de argamassa de cimento e areia (inclusive emboço)</v>
          </cell>
          <cell r="C195" t="str">
            <v>M2</v>
          </cell>
          <cell r="D195">
            <v>7.3646000000000003</v>
          </cell>
        </row>
        <row r="196">
          <cell r="A196" t="str">
            <v>001.08.00460</v>
          </cell>
          <cell r="B196" t="str">
            <v>Demolição de azulejos pastilas ladrilhos cerâmicos ou base de gres (inclusive emboço)</v>
          </cell>
          <cell r="C196" t="str">
            <v>M2</v>
          </cell>
          <cell r="D196">
            <v>7.109</v>
          </cell>
        </row>
        <row r="197">
          <cell r="A197" t="str">
            <v>001.08.00480</v>
          </cell>
          <cell r="B197" t="str">
            <v>Demolição de mármore, pedra ou granito (inclusive emboço)</v>
          </cell>
          <cell r="C197" t="str">
            <v>M2</v>
          </cell>
          <cell r="D197">
            <v>7.109</v>
          </cell>
        </row>
        <row r="198">
          <cell r="A198" t="str">
            <v>001.08.00500</v>
          </cell>
          <cell r="B198" t="str">
            <v>Demolição de quadro negro</v>
          </cell>
          <cell r="C198" t="str">
            <v>M2</v>
          </cell>
          <cell r="D198">
            <v>7.109</v>
          </cell>
        </row>
        <row r="199">
          <cell r="A199" t="str">
            <v>001.08.00520</v>
          </cell>
          <cell r="B199" t="str">
            <v>Retirada de revestimento com mármore, pedra ou granito (inclusive emboço)</v>
          </cell>
          <cell r="C199" t="str">
            <v>M2</v>
          </cell>
          <cell r="D199">
            <v>6.5556000000000001</v>
          </cell>
        </row>
        <row r="200">
          <cell r="A200" t="str">
            <v>001.08.00540</v>
          </cell>
          <cell r="B200" t="str">
            <v>Demolição de forro de estuque (inclusive entarugamento de madeira)</v>
          </cell>
          <cell r="C200" t="str">
            <v>M2</v>
          </cell>
          <cell r="D200">
            <v>2.0718999999999999</v>
          </cell>
        </row>
        <row r="201">
          <cell r="A201" t="str">
            <v>001.08.00560</v>
          </cell>
          <cell r="B201" t="str">
            <v>Demolição de forro de madeira ou de gesso (incluso entarugamento)</v>
          </cell>
          <cell r="C201" t="str">
            <v>M2</v>
          </cell>
          <cell r="D201">
            <v>1.7504</v>
          </cell>
        </row>
        <row r="202">
          <cell r="A202" t="str">
            <v>001.08.00580</v>
          </cell>
          <cell r="B202" t="str">
            <v>Demolição somente das tábuas ou chapas de madeira ou de gesso</v>
          </cell>
          <cell r="C202" t="str">
            <v>M2</v>
          </cell>
          <cell r="D202">
            <v>2.6255999999999999</v>
          </cell>
        </row>
        <row r="203">
          <cell r="A203" t="str">
            <v>001.08.00600</v>
          </cell>
          <cell r="B203" t="str">
            <v>Demolição de lambris de madeira inclusive entarugamento</v>
          </cell>
          <cell r="C203" t="str">
            <v>M2</v>
          </cell>
          <cell r="D203">
            <v>7.109</v>
          </cell>
        </row>
        <row r="204">
          <cell r="A204" t="str">
            <v>001.08.00620</v>
          </cell>
          <cell r="B204" t="str">
            <v>Demolição somente de chapas ou placas de lambris ou madeira</v>
          </cell>
          <cell r="C204" t="str">
            <v>M2</v>
          </cell>
          <cell r="D204">
            <v>4.4272</v>
          </cell>
        </row>
        <row r="205">
          <cell r="A205" t="str">
            <v>001.08.00640</v>
          </cell>
          <cell r="B205" t="str">
            <v>Retirada de todo o forro inclusive vigas e sarrafos</v>
          </cell>
          <cell r="C205" t="str">
            <v>M2</v>
          </cell>
          <cell r="D205">
            <v>9.3196999999999992</v>
          </cell>
        </row>
        <row r="206">
          <cell r="A206" t="str">
            <v>001.08.00660</v>
          </cell>
          <cell r="B206" t="str">
            <v>Retirada de todos os lambris inclusive caibros e sarrafos</v>
          </cell>
          <cell r="C206" t="str">
            <v>M2</v>
          </cell>
          <cell r="D206">
            <v>9.3196999999999992</v>
          </cell>
        </row>
        <row r="207">
          <cell r="A207" t="str">
            <v>001.08.00680</v>
          </cell>
          <cell r="B207" t="str">
            <v>Demolição de alvenaria de tijolos maciços</v>
          </cell>
          <cell r="C207" t="str">
            <v>M3</v>
          </cell>
          <cell r="D207">
            <v>18.0489</v>
          </cell>
        </row>
        <row r="208">
          <cell r="A208" t="str">
            <v>001.08.00700</v>
          </cell>
          <cell r="B208" t="str">
            <v>Retirada de alvenaria de tijolos maciços</v>
          </cell>
          <cell r="C208" t="str">
            <v>M3</v>
          </cell>
          <cell r="D208">
            <v>34.182299999999998</v>
          </cell>
        </row>
        <row r="209">
          <cell r="A209" t="str">
            <v>001.08.00720</v>
          </cell>
          <cell r="B209" t="str">
            <v>Demolição de alvenaria de tijolos cerâmicos</v>
          </cell>
          <cell r="C209" t="str">
            <v>M3</v>
          </cell>
          <cell r="D209">
            <v>13.128</v>
          </cell>
        </row>
        <row r="210">
          <cell r="A210" t="str">
            <v>001.08.00740</v>
          </cell>
          <cell r="B210" t="str">
            <v>Demolição de alvenaria de blocos de concreto</v>
          </cell>
          <cell r="C210" t="str">
            <v>M3</v>
          </cell>
          <cell r="D210">
            <v>13.128</v>
          </cell>
        </row>
        <row r="211">
          <cell r="A211" t="str">
            <v>001.08.00760</v>
          </cell>
          <cell r="B211" t="str">
            <v>Retirada de alvenaria de blocos de concreto</v>
          </cell>
          <cell r="C211" t="str">
            <v>M3</v>
          </cell>
          <cell r="D211">
            <v>26.256</v>
          </cell>
        </row>
        <row r="212">
          <cell r="A212" t="str">
            <v>001.08.00780</v>
          </cell>
          <cell r="B212" t="str">
            <v>Demolição de alvenaria de pedra</v>
          </cell>
          <cell r="C212" t="str">
            <v>M3</v>
          </cell>
          <cell r="D212">
            <v>33.3733</v>
          </cell>
        </row>
        <row r="213">
          <cell r="A213" t="str">
            <v>001.08.00800</v>
          </cell>
          <cell r="B213" t="str">
            <v>Retirada de alvenaria de pedra</v>
          </cell>
          <cell r="C213" t="str">
            <v>M3</v>
          </cell>
          <cell r="D213">
            <v>37.749299999999998</v>
          </cell>
        </row>
        <row r="214">
          <cell r="A214" t="str">
            <v>001.08.00820</v>
          </cell>
          <cell r="B214" t="str">
            <v>Demolição de alvenaria de placas de concreto celular</v>
          </cell>
          <cell r="C214" t="str">
            <v>M3</v>
          </cell>
          <cell r="D214">
            <v>7.6622000000000003</v>
          </cell>
        </row>
        <row r="215">
          <cell r="A215" t="str">
            <v>001.08.00840</v>
          </cell>
          <cell r="B215" t="str">
            <v>Retirada de alvenaria de placas de concreto celular</v>
          </cell>
          <cell r="C215" t="str">
            <v>M3</v>
          </cell>
          <cell r="D215">
            <v>13.1112</v>
          </cell>
        </row>
        <row r="216">
          <cell r="A216" t="str">
            <v>001.08.00860</v>
          </cell>
          <cell r="B216" t="str">
            <v>Demolição de alvenaria de adobo</v>
          </cell>
          <cell r="C216" t="str">
            <v>M3</v>
          </cell>
          <cell r="D216">
            <v>19.1555</v>
          </cell>
        </row>
        <row r="217">
          <cell r="A217" t="str">
            <v>001.08.00880</v>
          </cell>
          <cell r="B217" t="str">
            <v>Demolição de elemento vazado</v>
          </cell>
          <cell r="C217" t="str">
            <v>M2</v>
          </cell>
          <cell r="D217">
            <v>24.621300000000002</v>
          </cell>
        </row>
        <row r="218">
          <cell r="A218" t="str">
            <v>001.08.00900</v>
          </cell>
          <cell r="B218" t="str">
            <v>Demolição inclusive entarugamento de paredes divisórias de tábuas e chapas</v>
          </cell>
          <cell r="C218" t="str">
            <v>M2</v>
          </cell>
          <cell r="D218">
            <v>3.8311000000000002</v>
          </cell>
        </row>
        <row r="219">
          <cell r="A219" t="str">
            <v>001.08.00920</v>
          </cell>
          <cell r="B219" t="str">
            <v>Demolição apenas das tábuas ou chapas das paredes divisórias</v>
          </cell>
          <cell r="C219" t="str">
            <v>M2</v>
          </cell>
          <cell r="D219">
            <v>2.6818</v>
          </cell>
        </row>
        <row r="220">
          <cell r="A220" t="str">
            <v>001.08.00940</v>
          </cell>
          <cell r="B220" t="str">
            <v>Retirada de divisória tipo naval</v>
          </cell>
          <cell r="C220" t="str">
            <v>M2</v>
          </cell>
          <cell r="D220">
            <v>1.5324</v>
          </cell>
        </row>
        <row r="221">
          <cell r="A221" t="str">
            <v>001.08.00960</v>
          </cell>
          <cell r="B221" t="str">
            <v>Demolição de alvenaria de fundação de tijolos maciços inclusive escavações necessárias</v>
          </cell>
          <cell r="C221" t="str">
            <v>M3</v>
          </cell>
          <cell r="D221">
            <v>68.364500000000007</v>
          </cell>
        </row>
        <row r="222">
          <cell r="A222" t="str">
            <v>001.08.00980</v>
          </cell>
          <cell r="B222" t="str">
            <v>Demolição de alvenaria de fundações de pedra</v>
          </cell>
          <cell r="C222" t="str">
            <v>M3</v>
          </cell>
          <cell r="D222">
            <v>34.479900000000001</v>
          </cell>
        </row>
        <row r="223">
          <cell r="A223" t="str">
            <v>001.08.01000</v>
          </cell>
          <cell r="B223" t="str">
            <v>Demolição de concreto simples em fundação</v>
          </cell>
          <cell r="C223" t="str">
            <v>M3</v>
          </cell>
          <cell r="D223">
            <v>59.288899999999998</v>
          </cell>
        </row>
        <row r="224">
          <cell r="A224" t="str">
            <v>001.08.01020</v>
          </cell>
          <cell r="B224" t="str">
            <v>Demolição de concreto armado em fundações</v>
          </cell>
          <cell r="C224" t="str">
            <v>M3</v>
          </cell>
          <cell r="D224">
            <v>151.3741</v>
          </cell>
        </row>
        <row r="225">
          <cell r="A225" t="str">
            <v>001.08.01040</v>
          </cell>
          <cell r="B225" t="str">
            <v>Demolição de concreto simples acima do embasamento</v>
          </cell>
          <cell r="C225" t="str">
            <v>M3</v>
          </cell>
          <cell r="D225">
            <v>49.2258</v>
          </cell>
        </row>
        <row r="226">
          <cell r="A226" t="str">
            <v>001.08.01060</v>
          </cell>
          <cell r="B226" t="str">
            <v>Demolição de concreto armado acima do embasamento</v>
          </cell>
          <cell r="C226" t="str">
            <v>M3</v>
          </cell>
          <cell r="D226">
            <v>135.96420000000001</v>
          </cell>
        </row>
        <row r="227">
          <cell r="A227" t="str">
            <v>001.08.01080</v>
          </cell>
          <cell r="B227" t="str">
            <v>Rasgo em piso de concreto simples 7.00 x 7.00 cm para passagem de tubulação, utilizando máquina corta piso manual com disco diamantado</v>
          </cell>
          <cell r="C227" t="str">
            <v>ML</v>
          </cell>
          <cell r="D227">
            <v>3.5093000000000001</v>
          </cell>
        </row>
        <row r="228">
          <cell r="A228" t="str">
            <v>001.08.01100</v>
          </cell>
          <cell r="B228" t="str">
            <v>Rasgo em piso de concreto simples 10.00 x 7.00 cm para passagem de tubulação, utilizando máquina corta piso manual com disco diamantado</v>
          </cell>
          <cell r="C228" t="str">
            <v>ML</v>
          </cell>
          <cell r="D228">
            <v>4.4671000000000003</v>
          </cell>
        </row>
        <row r="229">
          <cell r="A229" t="str">
            <v>001.08.01120</v>
          </cell>
          <cell r="B229" t="str">
            <v>Rasgo em piso de concreto simples 15.00 x 7.00 cm para passagem de tubulação, utilizando máquina corta piso manual com disco diamantado</v>
          </cell>
          <cell r="C229" t="str">
            <v>ML</v>
          </cell>
          <cell r="D229">
            <v>6.3826999999999998</v>
          </cell>
        </row>
        <row r="230">
          <cell r="A230" t="str">
            <v>001.08.01140</v>
          </cell>
          <cell r="B230" t="str">
            <v>Demolição de assoalhos de tábuas incl.rodapés e cordões</v>
          </cell>
          <cell r="C230" t="str">
            <v>M2</v>
          </cell>
          <cell r="D230">
            <v>6.8958000000000004</v>
          </cell>
        </row>
        <row r="231">
          <cell r="A231" t="str">
            <v>001.08.01160</v>
          </cell>
          <cell r="B231" t="str">
            <v>Demolição de assoalhos de tábuas apenas das tábuas</v>
          </cell>
          <cell r="C231" t="str">
            <v>M2</v>
          </cell>
          <cell r="D231">
            <v>2.7583000000000002</v>
          </cell>
        </row>
        <row r="232">
          <cell r="A232" t="str">
            <v>001.08.01180</v>
          </cell>
          <cell r="B232" t="str">
            <v>Retirada de todo piso assoalho de tábuas inclusive vigamento de peróba</v>
          </cell>
          <cell r="C232" t="str">
            <v>M2</v>
          </cell>
          <cell r="D232">
            <v>11.247199999999999</v>
          </cell>
        </row>
        <row r="233">
          <cell r="A233" t="str">
            <v>001.08.01200</v>
          </cell>
          <cell r="B233" t="str">
            <v>Demolição de pisos de tacos madeira inclusive argamassa de assentamento</v>
          </cell>
          <cell r="C233" t="str">
            <v>M2</v>
          </cell>
          <cell r="D233">
            <v>8.4490999999999996</v>
          </cell>
        </row>
        <row r="234">
          <cell r="A234" t="str">
            <v>001.08.01220</v>
          </cell>
          <cell r="B234" t="str">
            <v>Retirada de pisos de tacos madeira inclusive argamassa de assentamento</v>
          </cell>
          <cell r="C234" t="str">
            <v>M2</v>
          </cell>
          <cell r="D234">
            <v>10.0838</v>
          </cell>
        </row>
        <row r="235">
          <cell r="A235" t="str">
            <v>001.08.01240</v>
          </cell>
          <cell r="B235" t="str">
            <v>Demolição de rodapé de madeira</v>
          </cell>
          <cell r="C235" t="str">
            <v>ML</v>
          </cell>
          <cell r="D235">
            <v>0.30649999999999999</v>
          </cell>
        </row>
        <row r="236">
          <cell r="A236" t="str">
            <v>001.08.01260</v>
          </cell>
          <cell r="B236" t="str">
            <v>Retirada de rodapé de madeira</v>
          </cell>
          <cell r="C236" t="str">
            <v>ML</v>
          </cell>
          <cell r="D236">
            <v>0.4904</v>
          </cell>
        </row>
        <row r="237">
          <cell r="A237" t="str">
            <v>001.08.01280</v>
          </cell>
          <cell r="B237" t="str">
            <v>Demolição de pisos de ladrilhos em geral</v>
          </cell>
          <cell r="C237" t="str">
            <v>M2</v>
          </cell>
          <cell r="D237">
            <v>3.0632000000000001</v>
          </cell>
        </row>
        <row r="238">
          <cell r="A238" t="str">
            <v>001.08.01300</v>
          </cell>
          <cell r="B238" t="str">
            <v>Demolição de ladrilhos em geral sobre base ou lastro de concreto</v>
          </cell>
          <cell r="C238" t="str">
            <v>M2</v>
          </cell>
          <cell r="D238">
            <v>6.1264000000000003</v>
          </cell>
        </row>
        <row r="239">
          <cell r="A239" t="str">
            <v>001.08.01320</v>
          </cell>
          <cell r="B239" t="str">
            <v>Demolição de pisos de granilite ou cimentado</v>
          </cell>
          <cell r="C239" t="str">
            <v>M2</v>
          </cell>
          <cell r="D239">
            <v>1.1331</v>
          </cell>
        </row>
        <row r="240">
          <cell r="A240" t="str">
            <v>001.08.01340</v>
          </cell>
          <cell r="B240" t="str">
            <v>Retirada de pavimentação em paralelepípedo</v>
          </cell>
          <cell r="C240" t="str">
            <v>M2</v>
          </cell>
          <cell r="D240">
            <v>3.5007999999999999</v>
          </cell>
        </row>
        <row r="241">
          <cell r="A241" t="str">
            <v>001.08.01360</v>
          </cell>
          <cell r="B241" t="str">
            <v>Demolição de pavimentação asfáltica p/processo manual</v>
          </cell>
          <cell r="C241" t="str">
            <v>M2</v>
          </cell>
          <cell r="D241">
            <v>5.7466999999999997</v>
          </cell>
        </row>
        <row r="242">
          <cell r="A242" t="str">
            <v>001.08.01380</v>
          </cell>
          <cell r="B242" t="str">
            <v>Demolição de pisos cimentados sobre base ou lastro concreto</v>
          </cell>
          <cell r="C242" t="str">
            <v>M2</v>
          </cell>
          <cell r="D242">
            <v>5.6887999999999996</v>
          </cell>
        </row>
        <row r="243">
          <cell r="A243" t="str">
            <v>001.08.01400</v>
          </cell>
          <cell r="B243" t="str">
            <v>Demolição de lastro de concreto</v>
          </cell>
          <cell r="C243" t="str">
            <v>M2</v>
          </cell>
          <cell r="D243">
            <v>3.0632000000000001</v>
          </cell>
        </row>
        <row r="244">
          <cell r="A244" t="str">
            <v>001.08.01420</v>
          </cell>
          <cell r="B244" t="str">
            <v>Retirada de vidros inteiros</v>
          </cell>
          <cell r="C244" t="str">
            <v>M2</v>
          </cell>
          <cell r="D244">
            <v>2.3174000000000001</v>
          </cell>
        </row>
        <row r="245">
          <cell r="A245" t="str">
            <v>001.08.01440</v>
          </cell>
          <cell r="B245" t="str">
            <v>Retirada de esquadrias de madeira inclusive batente</v>
          </cell>
          <cell r="C245" t="str">
            <v>M2</v>
          </cell>
          <cell r="D245">
            <v>3.5007999999999999</v>
          </cell>
        </row>
        <row r="246">
          <cell r="A246" t="str">
            <v>001.08.01460</v>
          </cell>
          <cell r="B246" t="str">
            <v>Retirada de esquadrias metálicas</v>
          </cell>
          <cell r="C246" t="str">
            <v>M2</v>
          </cell>
          <cell r="D246">
            <v>4.5890000000000004</v>
          </cell>
        </row>
        <row r="247">
          <cell r="A247" t="str">
            <v>001.08.01480</v>
          </cell>
          <cell r="B247" t="str">
            <v>Retirada de fechaduras</v>
          </cell>
          <cell r="C247" t="str">
            <v>UN</v>
          </cell>
          <cell r="D247">
            <v>2.3174000000000001</v>
          </cell>
        </row>
        <row r="248">
          <cell r="A248" t="str">
            <v>001.08.01500</v>
          </cell>
          <cell r="B248" t="str">
            <v>Retirada de esquadria de madeira, somente as folhas</v>
          </cell>
          <cell r="C248" t="str">
            <v>M2</v>
          </cell>
          <cell r="D248">
            <v>1.5539000000000001</v>
          </cell>
        </row>
        <row r="249">
          <cell r="A249" t="str">
            <v>001.08.01520</v>
          </cell>
          <cell r="B249" t="str">
            <v>Retirada de aparelhos de louça ou ferro sanitário</v>
          </cell>
          <cell r="C249" t="str">
            <v>UN</v>
          </cell>
          <cell r="D249">
            <v>8.4054000000000002</v>
          </cell>
        </row>
        <row r="250">
          <cell r="A250" t="str">
            <v>001.08.01540</v>
          </cell>
          <cell r="B250" t="str">
            <v>Retirada de caixa dágua pré fabricada</v>
          </cell>
          <cell r="C250" t="str">
            <v>UN</v>
          </cell>
          <cell r="D250">
            <v>14.009</v>
          </cell>
        </row>
        <row r="251">
          <cell r="A251" t="str">
            <v>001.08.01560</v>
          </cell>
          <cell r="B251" t="str">
            <v>Demolição de tubulação de ferro galvanizado até 2 pol</v>
          </cell>
          <cell r="C251" t="str">
            <v>ML</v>
          </cell>
          <cell r="D251">
            <v>1.6811</v>
          </cell>
        </row>
        <row r="252">
          <cell r="A252" t="str">
            <v>001.08.01580</v>
          </cell>
          <cell r="B252" t="str">
            <v>Demolição de tubulação de ferro galvanizado acima de 2 pol</v>
          </cell>
          <cell r="C252" t="str">
            <v>ML</v>
          </cell>
          <cell r="D252">
            <v>2.8018000000000001</v>
          </cell>
        </row>
        <row r="253">
          <cell r="A253" t="str">
            <v>001.08.01600</v>
          </cell>
          <cell r="B253" t="str">
            <v>Retirada de tubo de ferro galvanizado até 2 pol</v>
          </cell>
          <cell r="C253" t="str">
            <v>ML</v>
          </cell>
          <cell r="D253">
            <v>2.8018000000000001</v>
          </cell>
        </row>
        <row r="254">
          <cell r="A254" t="str">
            <v>001.08.01620</v>
          </cell>
          <cell r="B254" t="str">
            <v>Retirada de tubo de ferro galvanizado acima de 2 pol</v>
          </cell>
          <cell r="C254" t="str">
            <v>ML</v>
          </cell>
          <cell r="D254">
            <v>3.3622000000000001</v>
          </cell>
        </row>
        <row r="255">
          <cell r="A255" t="str">
            <v>001.08.01640</v>
          </cell>
          <cell r="B255" t="str">
            <v>Demolição de tubo de f.f.ate 3 pol</v>
          </cell>
          <cell r="C255" t="str">
            <v>ML</v>
          </cell>
          <cell r="D255">
            <v>1.6811</v>
          </cell>
        </row>
        <row r="256">
          <cell r="A256" t="str">
            <v>001.08.01660</v>
          </cell>
          <cell r="B256" t="str">
            <v>Demolição de tubo de f.f.acima 3 pol</v>
          </cell>
          <cell r="C256" t="str">
            <v>ML</v>
          </cell>
          <cell r="D256">
            <v>2.8018000000000001</v>
          </cell>
        </row>
        <row r="257">
          <cell r="A257" t="str">
            <v>001.08.01680</v>
          </cell>
          <cell r="B257" t="str">
            <v>Retirada de tubo de f.f.ate 3 pol</v>
          </cell>
          <cell r="C257" t="str">
            <v>ML</v>
          </cell>
          <cell r="D257">
            <v>2.8018000000000001</v>
          </cell>
        </row>
        <row r="258">
          <cell r="A258" t="str">
            <v>001.08.01700</v>
          </cell>
          <cell r="B258" t="str">
            <v>Retirada de tubo de f.f.acima de 3 pol</v>
          </cell>
          <cell r="C258" t="str">
            <v>ML</v>
          </cell>
          <cell r="D258">
            <v>3.3622000000000001</v>
          </cell>
        </row>
        <row r="259">
          <cell r="A259" t="str">
            <v>001.08.01720</v>
          </cell>
          <cell r="B259" t="str">
            <v>Demolição de tubo de barro ou c.a.ate 3 pol</v>
          </cell>
          <cell r="C259" t="str">
            <v>ML</v>
          </cell>
          <cell r="D259">
            <v>1.1207</v>
          </cell>
        </row>
        <row r="260">
          <cell r="A260" t="str">
            <v>001.08.01740</v>
          </cell>
          <cell r="B260" t="str">
            <v>Demolição de tubo de barro ou c.a.acima de 3 pol</v>
          </cell>
          <cell r="C260" t="str">
            <v>ML</v>
          </cell>
          <cell r="D260">
            <v>1.6811</v>
          </cell>
        </row>
        <row r="261">
          <cell r="A261" t="str">
            <v>001.08.01760</v>
          </cell>
          <cell r="B261" t="str">
            <v>Retirada de tubos de barro ou cimento amianto até 3 pol</v>
          </cell>
          <cell r="C261" t="str">
            <v>ML</v>
          </cell>
          <cell r="D261">
            <v>3.3622000000000001</v>
          </cell>
        </row>
        <row r="262">
          <cell r="A262" t="str">
            <v>001.08.01780</v>
          </cell>
          <cell r="B262" t="str">
            <v>Retirada de tubos de barro ou cimento amianto acima de 3 pol</v>
          </cell>
          <cell r="C262" t="str">
            <v>ML</v>
          </cell>
          <cell r="D262">
            <v>3.9224999999999999</v>
          </cell>
        </row>
        <row r="263">
          <cell r="A263" t="str">
            <v>001.08.01800</v>
          </cell>
          <cell r="B263" t="str">
            <v>Retirada de registro ate 2 pol</v>
          </cell>
          <cell r="C263" t="str">
            <v>UN</v>
          </cell>
          <cell r="D263">
            <v>6.1639999999999997</v>
          </cell>
        </row>
        <row r="264">
          <cell r="A264" t="str">
            <v>001.08.01820</v>
          </cell>
          <cell r="B264" t="str">
            <v>Retirada de calhas e condutores</v>
          </cell>
          <cell r="C264" t="str">
            <v>ML</v>
          </cell>
          <cell r="D264">
            <v>1.2285999999999999</v>
          </cell>
        </row>
        <row r="265">
          <cell r="A265" t="str">
            <v>001.08.01840</v>
          </cell>
          <cell r="B265" t="str">
            <v>Execução de desentupimento de esgoto</v>
          </cell>
          <cell r="C265" t="str">
            <v>ML</v>
          </cell>
          <cell r="D265">
            <v>2.0476999999999999</v>
          </cell>
        </row>
        <row r="266">
          <cell r="A266" t="str">
            <v>001.08.01860</v>
          </cell>
          <cell r="B266" t="str">
            <v>Retirada de caixa de descarga</v>
          </cell>
          <cell r="C266" t="str">
            <v>UN</v>
          </cell>
          <cell r="D266">
            <v>5.4263000000000003</v>
          </cell>
        </row>
        <row r="267">
          <cell r="A267" t="str">
            <v>001.08.01880</v>
          </cell>
          <cell r="B267" t="str">
            <v>Retirada de bancadas, balcões ou pias (aço,granilite,ardósia,etc)</v>
          </cell>
          <cell r="C267" t="str">
            <v>M2</v>
          </cell>
          <cell r="D267">
            <v>9.2800999999999991</v>
          </cell>
        </row>
        <row r="268">
          <cell r="A268" t="str">
            <v>001.08.01900</v>
          </cell>
          <cell r="B268" t="str">
            <v>Demolição de quadro de luz e força</v>
          </cell>
          <cell r="C268" t="str">
            <v>UN</v>
          </cell>
          <cell r="D268">
            <v>14.009</v>
          </cell>
        </row>
        <row r="269">
          <cell r="A269" t="str">
            <v>001.08.01920</v>
          </cell>
          <cell r="B269" t="str">
            <v>Retirada de quadro de luz e força</v>
          </cell>
          <cell r="C269" t="str">
            <v>UN</v>
          </cell>
          <cell r="D269">
            <v>19.6126</v>
          </cell>
        </row>
        <row r="270">
          <cell r="A270" t="str">
            <v>001.08.01940</v>
          </cell>
          <cell r="B270" t="str">
            <v>Retirada de aparelhos incandecentes</v>
          </cell>
          <cell r="C270" t="str">
            <v>UN</v>
          </cell>
          <cell r="D270">
            <v>0.56040000000000001</v>
          </cell>
        </row>
        <row r="271">
          <cell r="A271" t="str">
            <v>001.08.01960</v>
          </cell>
          <cell r="B271" t="str">
            <v>Retirada de aparelhos fluorescentes</v>
          </cell>
          <cell r="C271" t="str">
            <v>UN</v>
          </cell>
          <cell r="D271">
            <v>2.2414000000000001</v>
          </cell>
        </row>
        <row r="272">
          <cell r="A272" t="str">
            <v>001.08.01980</v>
          </cell>
          <cell r="B272" t="str">
            <v>Demolição de tubulação elétrica ate 2.00 pol</v>
          </cell>
          <cell r="C272" t="str">
            <v>ML</v>
          </cell>
          <cell r="D272">
            <v>1.6811</v>
          </cell>
        </row>
        <row r="273">
          <cell r="A273" t="str">
            <v>001.08.02000</v>
          </cell>
          <cell r="B273" t="str">
            <v>Demolição de tubulação elétrica acima de 2.00 pol</v>
          </cell>
          <cell r="C273" t="str">
            <v>ML</v>
          </cell>
          <cell r="D273">
            <v>2.8018000000000001</v>
          </cell>
        </row>
        <row r="274">
          <cell r="A274" t="str">
            <v>001.08.02020</v>
          </cell>
          <cell r="B274" t="str">
            <v>Retirada de fiação (até cabo n.2 awg)</v>
          </cell>
          <cell r="C274" t="str">
            <v>ML</v>
          </cell>
          <cell r="D274">
            <v>0.11210000000000001</v>
          </cell>
        </row>
        <row r="275">
          <cell r="A275" t="str">
            <v>001.08.02040</v>
          </cell>
          <cell r="B275" t="str">
            <v>Retirada de fiação (do cabo 1/0 ate 4/0 awg)</v>
          </cell>
          <cell r="C275" t="str">
            <v>ML</v>
          </cell>
          <cell r="D275">
            <v>0.22409999999999999</v>
          </cell>
        </row>
        <row r="276">
          <cell r="A276" t="str">
            <v>001.08.02060</v>
          </cell>
          <cell r="B276" t="str">
            <v>Retirada de interruptores, tomadas, campainhas, etc. (inclusive, condutores e caixas)</v>
          </cell>
          <cell r="C276" t="str">
            <v>UN</v>
          </cell>
          <cell r="D276">
            <v>0.11210000000000001</v>
          </cell>
        </row>
        <row r="277">
          <cell r="A277" t="str">
            <v>001.08.02080</v>
          </cell>
          <cell r="B277" t="str">
            <v>Retirada de postes de madeira ou concreto ate 11.00 m</v>
          </cell>
          <cell r="C277" t="str">
            <v>UN</v>
          </cell>
          <cell r="D277">
            <v>17.565799999999999</v>
          </cell>
        </row>
        <row r="278">
          <cell r="A278" t="str">
            <v>001.08.02100</v>
          </cell>
          <cell r="B278" t="str">
            <v>Retirada de arruelas</v>
          </cell>
          <cell r="C278" t="str">
            <v>UN</v>
          </cell>
          <cell r="D278">
            <v>0.11210000000000001</v>
          </cell>
        </row>
        <row r="279">
          <cell r="A279" t="str">
            <v>001.08.02120</v>
          </cell>
          <cell r="B279" t="str">
            <v>Retirada de cruzeta de madeira</v>
          </cell>
          <cell r="C279" t="str">
            <v>UN</v>
          </cell>
          <cell r="D279">
            <v>0.2802</v>
          </cell>
        </row>
        <row r="280">
          <cell r="A280" t="str">
            <v>001.08.02140</v>
          </cell>
          <cell r="B280" t="str">
            <v>Retirada de isoladores</v>
          </cell>
          <cell r="C280" t="str">
            <v>UN</v>
          </cell>
          <cell r="D280">
            <v>0.56040000000000001</v>
          </cell>
        </row>
        <row r="281">
          <cell r="A281" t="str">
            <v>001.08.02160</v>
          </cell>
          <cell r="B281" t="str">
            <v>Retirada de mão francesa</v>
          </cell>
          <cell r="C281" t="str">
            <v>UN</v>
          </cell>
          <cell r="D281">
            <v>0.56040000000000001</v>
          </cell>
        </row>
        <row r="282">
          <cell r="A282" t="str">
            <v>001.08.02180</v>
          </cell>
          <cell r="B282" t="str">
            <v>Retirada de parafuso máquina ou francês</v>
          </cell>
          <cell r="C282" t="str">
            <v>UN</v>
          </cell>
          <cell r="D282">
            <v>0.56040000000000001</v>
          </cell>
        </row>
        <row r="283">
          <cell r="A283" t="str">
            <v>001.08.02200</v>
          </cell>
          <cell r="B283" t="str">
            <v>Retirada de pino p/isolador de 15 kv</v>
          </cell>
          <cell r="C283" t="str">
            <v>UN</v>
          </cell>
          <cell r="D283">
            <v>0.84050000000000002</v>
          </cell>
        </row>
        <row r="284">
          <cell r="A284" t="str">
            <v>001.08.02220</v>
          </cell>
          <cell r="B284" t="str">
            <v>Retirada de disjuntor monofásico, bifásico ou trifásico de 15 a até 200 a</v>
          </cell>
          <cell r="C284" t="str">
            <v>UN</v>
          </cell>
          <cell r="D284">
            <v>1.0239</v>
          </cell>
        </row>
        <row r="285">
          <cell r="A285" t="str">
            <v>001.08.02240</v>
          </cell>
          <cell r="B285" t="str">
            <v>Retirada de chave trifásica com fusíveis de 30a até 200a</v>
          </cell>
          <cell r="C285" t="str">
            <v>UN</v>
          </cell>
          <cell r="D285">
            <v>3.0714999999999999</v>
          </cell>
        </row>
        <row r="286">
          <cell r="A286" t="str">
            <v>001.08.02260</v>
          </cell>
          <cell r="B286" t="str">
            <v>Retirada de ventilador de teto completo</v>
          </cell>
          <cell r="C286" t="str">
            <v>UN</v>
          </cell>
          <cell r="D286">
            <v>1.5357000000000001</v>
          </cell>
        </row>
        <row r="287">
          <cell r="A287" t="str">
            <v>001.08.02280</v>
          </cell>
          <cell r="B287" t="str">
            <v>Retirada de refletor com lâmpada</v>
          </cell>
          <cell r="C287" t="str">
            <v>UN</v>
          </cell>
          <cell r="D287">
            <v>1.5357000000000001</v>
          </cell>
        </row>
        <row r="288">
          <cell r="A288" t="str">
            <v>001.08.02300</v>
          </cell>
          <cell r="B288" t="str">
            <v>Remanejamento de fancoils</v>
          </cell>
          <cell r="C288" t="str">
            <v>UN</v>
          </cell>
          <cell r="D288">
            <v>80.670400000000001</v>
          </cell>
        </row>
        <row r="289">
          <cell r="A289" t="str">
            <v>001.08.02320</v>
          </cell>
          <cell r="B289" t="str">
            <v>Retirada c/ remoção de transformador de at/bt-15 kv 75 a 150 kva</v>
          </cell>
          <cell r="C289" t="str">
            <v>UN</v>
          </cell>
          <cell r="D289">
            <v>199.49279999999999</v>
          </cell>
        </row>
        <row r="290">
          <cell r="A290" t="str">
            <v>001.08.02340</v>
          </cell>
          <cell r="B290" t="str">
            <v>Retirada com remoção de grupo motor-gerador de 60 a 250 kva</v>
          </cell>
          <cell r="C290" t="str">
            <v>UN</v>
          </cell>
          <cell r="D290">
            <v>199.49279999999999</v>
          </cell>
        </row>
        <row r="291">
          <cell r="A291" t="str">
            <v>001.08.02360</v>
          </cell>
          <cell r="B291" t="str">
            <v>Remoção de pintura a cal</v>
          </cell>
          <cell r="C291" t="str">
            <v>M2</v>
          </cell>
          <cell r="D291">
            <v>0.81740000000000002</v>
          </cell>
        </row>
        <row r="292">
          <cell r="A292" t="str">
            <v>001.08.02380</v>
          </cell>
          <cell r="B292" t="str">
            <v>Remoção de pintura a gesso cola ou base de látex (pva)</v>
          </cell>
          <cell r="C292" t="str">
            <v>M2</v>
          </cell>
          <cell r="D292">
            <v>1.0898000000000001</v>
          </cell>
        </row>
        <row r="293">
          <cell r="A293" t="str">
            <v>001.08.02400</v>
          </cell>
          <cell r="B293" t="str">
            <v>Remoção de pintura a óleo esmalte verniz ou grafite</v>
          </cell>
          <cell r="C293" t="str">
            <v>M2</v>
          </cell>
          <cell r="D293">
            <v>2.0718999999999999</v>
          </cell>
        </row>
        <row r="294">
          <cell r="A294" t="str">
            <v>001.08.02420</v>
          </cell>
          <cell r="B294" t="str">
            <v>Raspagem e lixamento de pintura a óleo esmalte verniz ou grafite</v>
          </cell>
          <cell r="C294" t="str">
            <v>M2</v>
          </cell>
          <cell r="D294">
            <v>1.5539000000000001</v>
          </cell>
        </row>
        <row r="295">
          <cell r="A295" t="str">
            <v>001.09</v>
          </cell>
          <cell r="B295" t="str">
            <v>MOVIMENTO DE TERRA</v>
          </cell>
        </row>
        <row r="296">
          <cell r="A296" t="str">
            <v>001.09.00020</v>
          </cell>
          <cell r="B296" t="str">
            <v>Escavação manual de vala profund. até 2 mts em solo de 1ª categoria -   qualquer que seja o teor de umidade que apresente</v>
          </cell>
          <cell r="C296" t="str">
            <v>M3</v>
          </cell>
          <cell r="D296">
            <v>15.324400000000001</v>
          </cell>
        </row>
        <row r="297">
          <cell r="A297" t="str">
            <v>001.09.00040</v>
          </cell>
          <cell r="B297" t="str">
            <v>Escavação manual de vala profund. de 2 a 4 mts em solo de 1ª categoria -  qualquer que seja o teor de umidade que apresente</v>
          </cell>
          <cell r="C297" t="str">
            <v>M3</v>
          </cell>
          <cell r="D297">
            <v>17.239999999999998</v>
          </cell>
        </row>
        <row r="298">
          <cell r="A298" t="str">
            <v>001.09.00060</v>
          </cell>
          <cell r="B298" t="str">
            <v>Escavação manual em terra compacta ate 1,50m em material de primeira catergoria</v>
          </cell>
          <cell r="C298" t="str">
            <v>M3</v>
          </cell>
          <cell r="D298">
            <v>10.7271</v>
          </cell>
        </row>
        <row r="299">
          <cell r="A299" t="str">
            <v>001.09.00080</v>
          </cell>
          <cell r="B299" t="str">
            <v>Escavação manual em terra compacta de 1,50 ate 4,00 m</v>
          </cell>
          <cell r="C299" t="str">
            <v>M3</v>
          </cell>
          <cell r="D299">
            <v>19.1555</v>
          </cell>
        </row>
        <row r="300">
          <cell r="A300" t="str">
            <v>001.09.00100</v>
          </cell>
          <cell r="B300" t="str">
            <v>Escavação manual em terra dura ate 1,50m de profundidade</v>
          </cell>
          <cell r="C300" t="str">
            <v>M3</v>
          </cell>
          <cell r="D300">
            <v>13.792</v>
          </cell>
        </row>
        <row r="301">
          <cell r="A301" t="str">
            <v>001.09.00120</v>
          </cell>
          <cell r="B301" t="str">
            <v>Escavação manual em terra dura de 1,50 a 4,00m de profundidade</v>
          </cell>
          <cell r="C301" t="str">
            <v>M3</v>
          </cell>
          <cell r="D301">
            <v>22.986599999999999</v>
          </cell>
        </row>
        <row r="302">
          <cell r="A302" t="str">
            <v>001.09.00140</v>
          </cell>
          <cell r="B302" t="str">
            <v>Reaterro manual de valas c/o proprio material escavado incl.serviços de apiloamento com masso de 30 kg</v>
          </cell>
          <cell r="C302" t="str">
            <v>M3</v>
          </cell>
          <cell r="D302">
            <v>7.4706000000000001</v>
          </cell>
        </row>
        <row r="303">
          <cell r="A303" t="str">
            <v>001.09.00160</v>
          </cell>
          <cell r="B303" t="str">
            <v>Reaterro manual de valas c/o proprio material escavado incl.serviços de apiloamento com masso de 30 kg a 60 kg</v>
          </cell>
          <cell r="C303" t="str">
            <v>M3</v>
          </cell>
          <cell r="D303">
            <v>8.2369000000000003</v>
          </cell>
        </row>
        <row r="304">
          <cell r="A304" t="str">
            <v>001.09.00180</v>
          </cell>
          <cell r="B304" t="str">
            <v>Reaterro Mecanizado de Vala Empregando Compactador  de Placa Vibratória Movido à Diesel VPY 1750</v>
          </cell>
          <cell r="C304" t="str">
            <v>M3</v>
          </cell>
          <cell r="D304">
            <v>1.2667999999999999</v>
          </cell>
        </row>
        <row r="305">
          <cell r="A305" t="str">
            <v>001.09.00200</v>
          </cell>
          <cell r="B305" t="str">
            <v>Aterro interno entre baldrames em camada de 20 cm, utilizando compactador mecânico (tipo sapo mecânico), incluindo transporte e espalhamento do material</v>
          </cell>
          <cell r="C305" t="str">
            <v>M3</v>
          </cell>
          <cell r="D305">
            <v>15.667199999999999</v>
          </cell>
        </row>
        <row r="306">
          <cell r="A306" t="str">
            <v>001.09.00220</v>
          </cell>
          <cell r="B306" t="str">
            <v>Apiloamento de fundo de valas ou cavas com masso ate 30 kg</v>
          </cell>
          <cell r="C306" t="str">
            <v>M2</v>
          </cell>
          <cell r="D306">
            <v>4.4058000000000002</v>
          </cell>
        </row>
        <row r="307">
          <cell r="A307" t="str">
            <v>001.09.00240</v>
          </cell>
          <cell r="B307" t="str">
            <v>Apiloamento de fundo de valas ou cavas com masso de 30 a 60 kg</v>
          </cell>
          <cell r="C307" t="str">
            <v>M2</v>
          </cell>
          <cell r="D307">
            <v>6.5129000000000001</v>
          </cell>
        </row>
        <row r="308">
          <cell r="A308" t="str">
            <v>001.09.00260</v>
          </cell>
          <cell r="B308" t="str">
            <v>Espalhamento manual de terra descarregada</v>
          </cell>
          <cell r="C308" t="str">
            <v>M3</v>
          </cell>
          <cell r="D308">
            <v>1.5324</v>
          </cell>
        </row>
        <row r="309">
          <cell r="A309" t="str">
            <v>001.09.00280</v>
          </cell>
          <cell r="B309" t="str">
            <v>Escavação manual a céu aberto para tubulões</v>
          </cell>
          <cell r="C309" t="str">
            <v>M3</v>
          </cell>
          <cell r="D309">
            <v>67.727199999999996</v>
          </cell>
        </row>
        <row r="310">
          <cell r="A310" t="str">
            <v>001.09.00290</v>
          </cell>
          <cell r="B310" t="str">
            <v>Escavação Mecanizada Com Perfuratriz com Diâmetro Médio de Perfuração de 25 cm, incl. estadia, mobilização e desmobilização</v>
          </cell>
          <cell r="C310" t="str">
            <v>ml</v>
          </cell>
          <cell r="D310">
            <v>8.9</v>
          </cell>
        </row>
        <row r="311">
          <cell r="A311" t="str">
            <v>001.09.00300</v>
          </cell>
          <cell r="B311" t="str">
            <v>Escavação Mecanizada Com Perfuratriz com Diâmetro Médio de Perfuração de 80 cm, incl. estadia, mobilização e desmobilização</v>
          </cell>
          <cell r="C311" t="str">
            <v>ml</v>
          </cell>
          <cell r="D311">
            <v>8.9</v>
          </cell>
        </row>
        <row r="312">
          <cell r="A312" t="str">
            <v>001.09.00320</v>
          </cell>
          <cell r="B312" t="str">
            <v>Movimento de terra c/ corte e aterro compensado e c/ volume de corte excedente compensado manual em terreno mole</v>
          </cell>
          <cell r="C312" t="str">
            <v>M3</v>
          </cell>
          <cell r="D312">
            <v>7.6622000000000003</v>
          </cell>
        </row>
        <row r="313">
          <cell r="A313" t="str">
            <v>001.09.00340</v>
          </cell>
          <cell r="B313" t="str">
            <v>Movimento de terra c/ corte e aterro compensado e c/ volume de corte excedente compensado manual em terreno duro</v>
          </cell>
          <cell r="C313" t="str">
            <v>M3</v>
          </cell>
          <cell r="D313">
            <v>9.5777999999999999</v>
          </cell>
        </row>
        <row r="314">
          <cell r="A314" t="str">
            <v>001.09.00360</v>
          </cell>
          <cell r="B314" t="str">
            <v>Movimento de terra c/ corte e aterro compensado e c/ volume de aterro por empréstimo volume compensado manual em terreno mole</v>
          </cell>
          <cell r="C314" t="str">
            <v>M3</v>
          </cell>
          <cell r="D314">
            <v>9.5777999999999999</v>
          </cell>
        </row>
        <row r="315">
          <cell r="A315" t="str">
            <v>001.09.00380</v>
          </cell>
          <cell r="B315" t="str">
            <v>Movimento de terra c/ corte e aterro compensado e c/ volume de aterro por empréstimo volume compensado manual em terreno duro</v>
          </cell>
          <cell r="C315" t="str">
            <v>M3</v>
          </cell>
          <cell r="D315">
            <v>11.4933</v>
          </cell>
        </row>
        <row r="316">
          <cell r="A316" t="str">
            <v>001.10</v>
          </cell>
          <cell r="B316" t="str">
            <v>FUNDAÇÕES</v>
          </cell>
        </row>
        <row r="317">
          <cell r="A317" t="str">
            <v>001.10.00020</v>
          </cell>
          <cell r="B317" t="str">
            <v>Fornecimento, Lançamento e Aplicação de Lastro de Concreto c/ betoneira em fundações 1:5:10 c/167 kg cim/m3</v>
          </cell>
          <cell r="C317" t="str">
            <v>M3</v>
          </cell>
          <cell r="D317">
            <v>156.65639999999999</v>
          </cell>
        </row>
        <row r="318">
          <cell r="A318" t="str">
            <v>001.10.00040</v>
          </cell>
          <cell r="B318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318" t="str">
            <v>M3</v>
          </cell>
          <cell r="D318">
            <v>170.5814</v>
          </cell>
        </row>
        <row r="319">
          <cell r="A319" t="str">
            <v>001.10.00060</v>
          </cell>
          <cell r="B319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319" t="str">
            <v>M3</v>
          </cell>
          <cell r="D319">
            <v>177.90539999999999</v>
          </cell>
        </row>
        <row r="320">
          <cell r="A320" t="str">
            <v>001.10.00080</v>
          </cell>
          <cell r="B320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320" t="str">
            <v>M3</v>
          </cell>
          <cell r="D320">
            <v>181.15539999999999</v>
          </cell>
        </row>
        <row r="321">
          <cell r="A321" t="str">
            <v>001.10.00100</v>
          </cell>
          <cell r="B321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321" t="str">
            <v>M3</v>
          </cell>
          <cell r="D321">
            <v>187.94540000000001</v>
          </cell>
        </row>
        <row r="322">
          <cell r="A322" t="str">
            <v>001.10.00120</v>
          </cell>
          <cell r="B322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322" t="str">
            <v>M3</v>
          </cell>
          <cell r="D322">
            <v>192.55340000000001</v>
          </cell>
        </row>
        <row r="323">
          <cell r="A323" t="str">
            <v>001.10.00140</v>
          </cell>
          <cell r="B323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323" t="str">
            <v>M3</v>
          </cell>
          <cell r="D323">
            <v>195.00239999999999</v>
          </cell>
        </row>
        <row r="324">
          <cell r="A324" t="str">
            <v>001.10.00160</v>
          </cell>
          <cell r="B324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324" t="str">
            <v>M3</v>
          </cell>
          <cell r="D324">
            <v>204.77539999999999</v>
          </cell>
        </row>
        <row r="325">
          <cell r="A325" t="str">
            <v>001.10.00180</v>
          </cell>
          <cell r="B325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325" t="str">
            <v>M3</v>
          </cell>
          <cell r="D325">
            <v>179.90280000000001</v>
          </cell>
        </row>
        <row r="326">
          <cell r="A326" t="str">
            <v>001.10.00200</v>
          </cell>
          <cell r="B326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326" t="str">
            <v>M3</v>
          </cell>
          <cell r="D326">
            <v>187.2268</v>
          </cell>
        </row>
        <row r="327">
          <cell r="A327" t="str">
            <v>001.10.00220</v>
          </cell>
          <cell r="B327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327" t="str">
            <v>M3</v>
          </cell>
          <cell r="D327">
            <v>190.4768</v>
          </cell>
        </row>
        <row r="328">
          <cell r="A328" t="str">
            <v>001.10.00240</v>
          </cell>
          <cell r="B328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328" t="str">
            <v>M3</v>
          </cell>
          <cell r="D328">
            <v>197.26679999999999</v>
          </cell>
        </row>
        <row r="329">
          <cell r="A329" t="str">
            <v>001.10.00260</v>
          </cell>
          <cell r="B329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329" t="str">
            <v>M3</v>
          </cell>
          <cell r="D329">
            <v>201.87479999999999</v>
          </cell>
        </row>
        <row r="330">
          <cell r="A330" t="str">
            <v>001.10.00280</v>
          </cell>
          <cell r="B330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330" t="str">
            <v>M3</v>
          </cell>
          <cell r="D330">
            <v>204.32380000000001</v>
          </cell>
        </row>
        <row r="331">
          <cell r="A331" t="str">
            <v>001.10.00300</v>
          </cell>
          <cell r="B331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331" t="str">
            <v>M3</v>
          </cell>
          <cell r="D331">
            <v>221.75899999999999</v>
          </cell>
        </row>
        <row r="332">
          <cell r="A332" t="str">
            <v>001.10.00320</v>
          </cell>
          <cell r="B332" t="str">
            <v>Fornecimento, Transporte, Lançamento e Aplicação de Concreto usinado em fundação Fck= 13,5 Mpa</v>
          </cell>
          <cell r="C332" t="str">
            <v>M3</v>
          </cell>
          <cell r="D332">
            <v>219.55019999999999</v>
          </cell>
        </row>
        <row r="333">
          <cell r="A333" t="str">
            <v>001.10.00340</v>
          </cell>
          <cell r="B333" t="str">
            <v>Fornecimento, Transporte, Lançamento e Aplicação de Concreto usinado em fundação, Fck=15 mpa</v>
          </cell>
          <cell r="C333" t="str">
            <v>M3</v>
          </cell>
          <cell r="D333">
            <v>231.1002</v>
          </cell>
        </row>
        <row r="334">
          <cell r="A334" t="str">
            <v>001.10.00360</v>
          </cell>
          <cell r="B334" t="str">
            <v>Fornecimento, Transporte, Lançamento e Aplicação de Concreto usinado em fundação Fck= 18 Mpa</v>
          </cell>
          <cell r="C334" t="str">
            <v>M3</v>
          </cell>
          <cell r="D334">
            <v>236.3502</v>
          </cell>
        </row>
        <row r="335">
          <cell r="A335" t="str">
            <v>001.10.00380</v>
          </cell>
          <cell r="B335" t="str">
            <v>Fornecimento, Transporte, Lançamento e Aplicação de Concreto usinado em fundação Fck= 20 mpa</v>
          </cell>
          <cell r="C335" t="str">
            <v>M3</v>
          </cell>
          <cell r="D335">
            <v>250.00020000000001</v>
          </cell>
        </row>
        <row r="336">
          <cell r="A336" t="str">
            <v>001.10.00400</v>
          </cell>
          <cell r="B336" t="str">
            <v>Fornecimento, Transporte, Lançamento e Aplicação de Concreto usinado em fundação Fck= 25 mpa</v>
          </cell>
          <cell r="C336" t="str">
            <v>M3</v>
          </cell>
          <cell r="D336">
            <v>260.50020000000001</v>
          </cell>
        </row>
        <row r="337">
          <cell r="A337" t="str">
            <v>001.10.00420</v>
          </cell>
          <cell r="B337" t="str">
            <v>Forma inclusive desforma comum de tábua para fundações sem reaproveitamento</v>
          </cell>
          <cell r="C337" t="str">
            <v>M2</v>
          </cell>
          <cell r="D337">
            <v>33.600099999999998</v>
          </cell>
        </row>
        <row r="338">
          <cell r="A338" t="str">
            <v>001.10.00440</v>
          </cell>
          <cell r="B338" t="str">
            <v>Forma inclusive desforma comum de tábua para fundações c/ 01 reaproveitamento</v>
          </cell>
          <cell r="C338" t="str">
            <v>M2</v>
          </cell>
          <cell r="D338">
            <v>21.211099999999998</v>
          </cell>
        </row>
        <row r="339">
          <cell r="A339" t="str">
            <v>001.10.00460</v>
          </cell>
          <cell r="B339" t="str">
            <v>Forma inclusive desforma comum de tábua para fundações c/ 02 reaproveitamentos</v>
          </cell>
          <cell r="C339" t="str">
            <v>M2</v>
          </cell>
          <cell r="D339">
            <v>17.348099999999999</v>
          </cell>
        </row>
        <row r="340">
          <cell r="A340" t="str">
            <v>001.10.00480</v>
          </cell>
          <cell r="B340" t="str">
            <v>Forma inclusive desforma comum de tábua para fundações c/ 03 reaproveitamentos</v>
          </cell>
          <cell r="C340" t="str">
            <v>M2</v>
          </cell>
          <cell r="D340">
            <v>16.0166</v>
          </cell>
        </row>
        <row r="341">
          <cell r="A341" t="str">
            <v>001.10.00500</v>
          </cell>
          <cell r="B341" t="str">
            <v>Forma inclusive desforma comum de tábua para fundações c/ 04 reaproveitamentos</v>
          </cell>
          <cell r="C341" t="str">
            <v>M2</v>
          </cell>
          <cell r="D341">
            <v>15.3405</v>
          </cell>
        </row>
        <row r="342">
          <cell r="A342" t="str">
            <v>001.10.00520</v>
          </cell>
          <cell r="B342" t="str">
            <v>Fornecimento, Trabalho e Aplicação de Aço CA 50 em Fundações</v>
          </cell>
          <cell r="C342" t="str">
            <v>KG</v>
          </cell>
          <cell r="D342">
            <v>4.6017999999999999</v>
          </cell>
        </row>
        <row r="343">
          <cell r="A343" t="str">
            <v>001.10.00540</v>
          </cell>
          <cell r="B343" t="str">
            <v>Fornecimento, Trabalho e Aplicação de Aço CA - 60 em Fundações</v>
          </cell>
          <cell r="C343" t="str">
            <v>KG</v>
          </cell>
          <cell r="D343">
            <v>5.2160000000000002</v>
          </cell>
        </row>
        <row r="344">
          <cell r="A344" t="str">
            <v>001.10.00560</v>
          </cell>
          <cell r="B344" t="str">
            <v>Fornecimento e Aplicação de Aço em tela soldada 3.80 mm com malha 15x15 cm - Q 75</v>
          </cell>
          <cell r="C344" t="str">
            <v>M2</v>
          </cell>
          <cell r="D344">
            <v>7.57</v>
          </cell>
        </row>
        <row r="345">
          <cell r="A345" t="str">
            <v>001.10.00580</v>
          </cell>
          <cell r="B345" t="str">
            <v>Fornecimento e Aplicação de Aço em tela soldada 4.20 mm com malha 15x15 cm - Q 92</v>
          </cell>
          <cell r="C345" t="str">
            <v>M2</v>
          </cell>
          <cell r="D345">
            <v>9.077</v>
          </cell>
        </row>
        <row r="346">
          <cell r="A346" t="str">
            <v>001.10.00600</v>
          </cell>
          <cell r="B346" t="str">
            <v>Concreto ciclópico com 30% de pedra de mão traço 1:4:8</v>
          </cell>
          <cell r="C346" t="str">
            <v>M3</v>
          </cell>
          <cell r="D346">
            <v>160.70660000000001</v>
          </cell>
        </row>
        <row r="347">
          <cell r="A347" t="str">
            <v>001.10.00620</v>
          </cell>
          <cell r="B347" t="str">
            <v>Concreto ciclópico com 30% de pedra de mão traço 1:3:6</v>
          </cell>
          <cell r="C347" t="str">
            <v>M3</v>
          </cell>
          <cell r="D347">
            <v>169.4821</v>
          </cell>
        </row>
        <row r="348">
          <cell r="A348" t="str">
            <v>001.10.00640</v>
          </cell>
          <cell r="B348" t="str">
            <v>Execução de Alvenaria de fundação e embasamento em tijolo maciço assente c/  o traço 1:4:12, cimento, cal e areia</v>
          </cell>
          <cell r="C348" t="str">
            <v>M3</v>
          </cell>
          <cell r="D348">
            <v>169.85319999999999</v>
          </cell>
        </row>
        <row r="349">
          <cell r="A349" t="str">
            <v>001.10.00660</v>
          </cell>
          <cell r="B349" t="str">
            <v>Execução de Alvenaria de fundação e embasamento em tijolo maciço assente c/ o traço 1:3, cimento e areia</v>
          </cell>
          <cell r="C349" t="str">
            <v>M3</v>
          </cell>
          <cell r="D349">
            <v>225.02430000000001</v>
          </cell>
        </row>
        <row r="350">
          <cell r="A350" t="str">
            <v>001.10.00680</v>
          </cell>
          <cell r="B350" t="str">
            <v>Execução de Alvenaria de fundação e embasamento em tijolo maciço assente c/ o traço 1:4 cimento e areia</v>
          </cell>
          <cell r="C350" t="str">
            <v>M3</v>
          </cell>
          <cell r="D350">
            <v>216.8373</v>
          </cell>
        </row>
        <row r="351">
          <cell r="A351" t="str">
            <v>001.10.00700</v>
          </cell>
          <cell r="B351" t="str">
            <v>Execução de Alvenaria de fundação e embasamento em tijolo maciço assente c/ o traço 1:5 cimento e areia</v>
          </cell>
          <cell r="C351" t="str">
            <v>M3</v>
          </cell>
          <cell r="D351">
            <v>211.77099999999999</v>
          </cell>
        </row>
        <row r="352">
          <cell r="A352" t="str">
            <v>001.10.00720</v>
          </cell>
          <cell r="B352" t="str">
            <v>Execução de Alvenaria de fundação e embasamento em tijolo maiciço assente c/ argamassa 1:3 c/adição de vedacit a 2 kg p/saco de cimento</v>
          </cell>
          <cell r="C352" t="str">
            <v>M3</v>
          </cell>
          <cell r="D352">
            <v>237.285</v>
          </cell>
        </row>
        <row r="353">
          <cell r="A353" t="str">
            <v>001.10.00740</v>
          </cell>
          <cell r="B353" t="str">
            <v>Execução de Alvenaria de tijolo comum em espelho p/ cinta de fundação (forma), assente c/ argamassa de cimento e areia 1:3</v>
          </cell>
          <cell r="C353" t="str">
            <v>M2</v>
          </cell>
          <cell r="D353">
            <v>15.6968</v>
          </cell>
        </row>
        <row r="354">
          <cell r="A354" t="str">
            <v>001.10.00760</v>
          </cell>
          <cell r="B354" t="str">
            <v>Execução de Alvenaria de tijolo comum em espelho p/ cinta de fundação (forma), assente c/ argamassa de cimento e areia 1:4</v>
          </cell>
          <cell r="C354" t="str">
            <v>M2</v>
          </cell>
          <cell r="D354">
            <v>15.4948</v>
          </cell>
        </row>
        <row r="355">
          <cell r="A355" t="str">
            <v>001.10.00780</v>
          </cell>
          <cell r="B355" t="str">
            <v>Confecção e lançamento de concreto em tubulão a céu aberto empregando concreto fck 150 mpa</v>
          </cell>
          <cell r="C355" t="str">
            <v>M3</v>
          </cell>
          <cell r="D355">
            <v>208.12209999999999</v>
          </cell>
        </row>
        <row r="356">
          <cell r="A356" t="str">
            <v>001.10.00800</v>
          </cell>
          <cell r="B356" t="str">
            <v>Confecção e lançamento de concreto em tubulão a céu aberto empregando concreto pré-misturado fck 15 mpa</v>
          </cell>
          <cell r="C356" t="str">
            <v>M3</v>
          </cell>
          <cell r="D356">
            <v>229.18459999999999</v>
          </cell>
        </row>
        <row r="357">
          <cell r="A357" t="str">
            <v>001.10.00820</v>
          </cell>
          <cell r="B357" t="str">
            <v>Execução de Broca de concreto armado no traço 1:3:6 até 4 m profundidade e c/ diâmetro 20 cm (escavação manual)</v>
          </cell>
          <cell r="C357" t="str">
            <v>ML</v>
          </cell>
          <cell r="D357">
            <v>15.780099999999999</v>
          </cell>
        </row>
        <row r="358">
          <cell r="A358" t="str">
            <v>001.10.00840</v>
          </cell>
          <cell r="B358" t="str">
            <v>Execução de Broca de concreto armado no traço 1:3:6 até 4 m profundidade e c/ diâmetro 25 cm (escavação manual)</v>
          </cell>
          <cell r="C358" t="str">
            <v>ML</v>
          </cell>
          <cell r="D358">
            <v>23.359200000000001</v>
          </cell>
        </row>
        <row r="359">
          <cell r="A359" t="str">
            <v>001.10.00860</v>
          </cell>
          <cell r="B359" t="str">
            <v>Execução de Broca de concreto armado no traço 1:3:6 até 4 m profundidade e c/ diâmetro 30 cm (escavação manual)</v>
          </cell>
          <cell r="C359" t="str">
            <v>ML</v>
          </cell>
          <cell r="D359">
            <v>32.830100000000002</v>
          </cell>
        </row>
        <row r="360">
          <cell r="A360" t="str">
            <v>001.10.00880</v>
          </cell>
          <cell r="B360" t="str">
            <v>Execução de Broca de concreto armado no traço 1:3:6 de 4 m até 6 m de profundidade e c/ diâmetro 25 cm (escavação manual)</v>
          </cell>
          <cell r="C360" t="str">
            <v>ML</v>
          </cell>
          <cell r="D360">
            <v>25.329499999999999</v>
          </cell>
        </row>
        <row r="361">
          <cell r="A361" t="str">
            <v>001.10.00900</v>
          </cell>
          <cell r="B361" t="str">
            <v>Execução de Broca de concreto armado no traço 1:3:6 de 4 m até 6 m de profundidade e c/ diâmetro 30 cm (escavação manual)</v>
          </cell>
          <cell r="C361" t="str">
            <v>ML</v>
          </cell>
          <cell r="D361">
            <v>36.445700000000002</v>
          </cell>
        </row>
        <row r="362">
          <cell r="A362" t="str">
            <v>001.10.00920</v>
          </cell>
          <cell r="B362" t="str">
            <v>Execução de Estaca Escavada, em Concreto Armado Fck = 20 MPa, Aço CA 50, Aço CA 60 - Diâmetro 25 cm</v>
          </cell>
          <cell r="C362" t="str">
            <v>ml</v>
          </cell>
          <cell r="D362">
            <v>25.363900000000001</v>
          </cell>
        </row>
        <row r="363">
          <cell r="A363" t="str">
            <v>001.10.00960</v>
          </cell>
          <cell r="B363" t="str">
            <v>Fornecimento e Cravação de Estaca de Concreto Pré Moldada Dim. 17.50 x 17.50 cm - 20 T</v>
          </cell>
          <cell r="C363" t="str">
            <v>ML</v>
          </cell>
          <cell r="D363">
            <v>30.5</v>
          </cell>
        </row>
        <row r="364">
          <cell r="A364" t="str">
            <v>001.10.00980</v>
          </cell>
          <cell r="B364" t="str">
            <v>Fornecimento e Cravação de Estaca de Concreto Pré-Moldada Dim (26,5x26,5)cm - 30 T</v>
          </cell>
          <cell r="C364" t="str">
            <v>ML</v>
          </cell>
          <cell r="D364">
            <v>49.4</v>
          </cell>
        </row>
        <row r="365">
          <cell r="A365" t="str">
            <v>001.10.01000</v>
          </cell>
          <cell r="B365" t="str">
            <v>Fornecimento e Instalação de emenda em estaca pré-moldada de concreto</v>
          </cell>
          <cell r="C365" t="str">
            <v>UN</v>
          </cell>
          <cell r="D365">
            <v>20</v>
          </cell>
        </row>
        <row r="366">
          <cell r="A366" t="str">
            <v>001.10.01020</v>
          </cell>
          <cell r="B366" t="str">
            <v>Lastro de brita granítica apiloado manualmente</v>
          </cell>
          <cell r="C366" t="str">
            <v>M3</v>
          </cell>
          <cell r="D366">
            <v>46.812199999999997</v>
          </cell>
        </row>
        <row r="367">
          <cell r="A367" t="str">
            <v>001.10.01040</v>
          </cell>
          <cell r="B367" t="str">
            <v>Lastro de areia média a grossa apiloado manualmente</v>
          </cell>
          <cell r="C367" t="str">
            <v>M3</v>
          </cell>
          <cell r="D367">
            <v>30.662199999999999</v>
          </cell>
        </row>
        <row r="368">
          <cell r="A368" t="str">
            <v>001.11</v>
          </cell>
          <cell r="B368" t="str">
            <v>ESTRUTURA</v>
          </cell>
        </row>
        <row r="369">
          <cell r="A369" t="str">
            <v>001.11.00020</v>
          </cell>
          <cell r="B369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369" t="str">
            <v>M3</v>
          </cell>
          <cell r="D369">
            <v>176.96279999999999</v>
          </cell>
        </row>
        <row r="370">
          <cell r="A370" t="str">
            <v>001.11.00040</v>
          </cell>
          <cell r="B370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370" t="str">
            <v>M3</v>
          </cell>
          <cell r="D370">
            <v>183.75280000000001</v>
          </cell>
        </row>
        <row r="371">
          <cell r="A371" t="str">
            <v>001.11.00060</v>
          </cell>
          <cell r="B371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371" t="str">
            <v>M3</v>
          </cell>
          <cell r="D371">
            <v>188.36080000000001</v>
          </cell>
        </row>
        <row r="372">
          <cell r="A372" t="str">
            <v>001.11.00080</v>
          </cell>
          <cell r="B372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372" t="str">
            <v>M3</v>
          </cell>
          <cell r="D372">
            <v>190.8098</v>
          </cell>
        </row>
        <row r="373">
          <cell r="A373" t="str">
            <v>001.11.00100</v>
          </cell>
          <cell r="B373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373" t="str">
            <v>M3</v>
          </cell>
          <cell r="D373">
            <v>200.58279999999999</v>
          </cell>
        </row>
        <row r="374">
          <cell r="A374" t="str">
            <v>001.11.00120</v>
          </cell>
          <cell r="B374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374" t="str">
            <v>M3</v>
          </cell>
          <cell r="D374">
            <v>186.2842</v>
          </cell>
        </row>
        <row r="375">
          <cell r="A375" t="str">
            <v>001.11.00140</v>
          </cell>
          <cell r="B375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375" t="str">
            <v>M3</v>
          </cell>
          <cell r="D375">
            <v>193.07419999999999</v>
          </cell>
        </row>
        <row r="376">
          <cell r="A376" t="str">
            <v>001.11.00160</v>
          </cell>
          <cell r="B376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376" t="str">
            <v>M3</v>
          </cell>
          <cell r="D376">
            <v>197.68219999999999</v>
          </cell>
        </row>
        <row r="377">
          <cell r="A377" t="str">
            <v>001.11.00180</v>
          </cell>
          <cell r="B377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377" t="str">
            <v>M3</v>
          </cell>
          <cell r="D377">
            <v>200.13120000000001</v>
          </cell>
        </row>
        <row r="378">
          <cell r="A378" t="str">
            <v>001.11.00200</v>
          </cell>
          <cell r="B378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378" t="str">
            <v>M3</v>
          </cell>
          <cell r="D378">
            <v>217.56639999999999</v>
          </cell>
        </row>
        <row r="379">
          <cell r="A379" t="str">
            <v>001.11.00220</v>
          </cell>
          <cell r="B379" t="str">
            <v>Fornecimento, Transporte, Lançamento, Adensamento e Acabamento Manual de Concreto Usinado Fck= 13,50 Mpa, em Estrutura.</v>
          </cell>
          <cell r="C379" t="str">
            <v>M3</v>
          </cell>
          <cell r="D379">
            <v>215.35759999999999</v>
          </cell>
        </row>
        <row r="380">
          <cell r="A380" t="str">
            <v>001.11.00240</v>
          </cell>
          <cell r="B380" t="str">
            <v>Fornecimento, Transporte, Lançamento, Adensamento e Acabamento Manual de Concreto Usinado Fck= 15 Mpa, em Estrutura.</v>
          </cell>
          <cell r="C380" t="str">
            <v>M3</v>
          </cell>
          <cell r="D380">
            <v>226.9076</v>
          </cell>
        </row>
        <row r="381">
          <cell r="A381" t="str">
            <v>001.11.00260</v>
          </cell>
          <cell r="B381" t="str">
            <v>Fornecimento, Transporte, Lançamento, Adensamento e Acabamento Manual de Concreto Usinado Fck= 18 Mpa, em Estrutura.</v>
          </cell>
          <cell r="C381" t="str">
            <v>M3</v>
          </cell>
          <cell r="D381">
            <v>232.1576</v>
          </cell>
        </row>
        <row r="382">
          <cell r="A382" t="str">
            <v>001.11.00280</v>
          </cell>
          <cell r="B382" t="str">
            <v>Fornecimento, Transporte, Lançamento, Adensamento e Acabamento Manual de Concreto Usinado Fck= 20 Mpa, em Estrutura.</v>
          </cell>
          <cell r="C382" t="str">
            <v>M3</v>
          </cell>
          <cell r="D382">
            <v>245.80760000000001</v>
          </cell>
        </row>
        <row r="383">
          <cell r="A383" t="str">
            <v>001.11.00300</v>
          </cell>
          <cell r="B383" t="str">
            <v>Fornecimento, Transporte, Lançamento, Adensamento e Acabamento Manual de Concreto Usinado Fck= 25 Mpa, em Estrutura.</v>
          </cell>
          <cell r="C383" t="str">
            <v>M3</v>
          </cell>
          <cell r="D383">
            <v>256.30759999999998</v>
          </cell>
        </row>
        <row r="384">
          <cell r="A384" t="str">
            <v>001.11.00320</v>
          </cell>
          <cell r="B384" t="str">
            <v>Fornecimento e Aplicação de Concreto em Estrutura Fck= 13,50 Mpa (não está incluso o bombeamento)</v>
          </cell>
          <cell r="C384" t="str">
            <v>M3</v>
          </cell>
          <cell r="D384">
            <v>198.88380000000001</v>
          </cell>
        </row>
        <row r="385">
          <cell r="A385" t="str">
            <v>001.11.00340</v>
          </cell>
          <cell r="B385" t="str">
            <v>Fornecimento e Aplicação de Concreto em Estrutura Fck= 15 Mpa (não está incluso o bombeamento)</v>
          </cell>
          <cell r="C385" t="str">
            <v>M3</v>
          </cell>
          <cell r="D385">
            <v>210.43379999999999</v>
          </cell>
        </row>
        <row r="386">
          <cell r="A386" t="str">
            <v>001.11.00360</v>
          </cell>
          <cell r="B386" t="str">
            <v>Fornecimento e Aplicação de Concreto em Estrutura Fck= 18 Mpa (não está incluso o bombeamento)</v>
          </cell>
          <cell r="C386" t="str">
            <v>M3</v>
          </cell>
          <cell r="D386">
            <v>215.68379999999999</v>
          </cell>
        </row>
        <row r="387">
          <cell r="A387" t="str">
            <v>001.11.00380</v>
          </cell>
          <cell r="B387" t="str">
            <v>Fornecimento e Aplicação de Concreto em Estrutura Fck= 20 Mpa (não está incluso o bombeamento)</v>
          </cell>
          <cell r="C387" t="str">
            <v>M3</v>
          </cell>
          <cell r="D387">
            <v>229.3338</v>
          </cell>
        </row>
        <row r="388">
          <cell r="A388" t="str">
            <v>001.11.00400</v>
          </cell>
          <cell r="B388" t="str">
            <v>Fornecimento e Aplicação de Concreto em Estrutura Fck= 25 Mpa (não está incluso o bombeamento)</v>
          </cell>
          <cell r="C388" t="str">
            <v>M3</v>
          </cell>
          <cell r="D388">
            <v>239.8338</v>
          </cell>
        </row>
        <row r="389">
          <cell r="A389" t="str">
            <v>001.11.00420</v>
          </cell>
          <cell r="B389" t="str">
            <v>Serviço de Bombeamento de Concreto em Estrutura</v>
          </cell>
          <cell r="C389" t="str">
            <v>M3</v>
          </cell>
          <cell r="D389">
            <v>20</v>
          </cell>
        </row>
        <row r="390">
          <cell r="A390" t="str">
            <v>001.11.00440</v>
          </cell>
          <cell r="B390" t="str">
            <v>Fornecimento, Trabalho e Aplicação de Aço  CA 50 em estrutura</v>
          </cell>
          <cell r="C390" t="str">
            <v>KG</v>
          </cell>
          <cell r="D390">
            <v>4.7873999999999999</v>
          </cell>
        </row>
        <row r="391">
          <cell r="A391" t="str">
            <v>001.11.00460</v>
          </cell>
          <cell r="B391" t="str">
            <v>Fornecimento, Trabalho e Aplicação de Aço CA 60 em estrutura</v>
          </cell>
          <cell r="C391" t="str">
            <v>KG</v>
          </cell>
          <cell r="D391">
            <v>5.4016000000000002</v>
          </cell>
        </row>
        <row r="392">
          <cell r="A392" t="str">
            <v>001.11.00480</v>
          </cell>
          <cell r="B392" t="str">
            <v>Fornecimento e Aplicação de Aço em tela soldada 4.20 mm com malha 15x15 cm - Q 92</v>
          </cell>
          <cell r="C392" t="str">
            <v>M2</v>
          </cell>
          <cell r="D392">
            <v>9.077</v>
          </cell>
        </row>
        <row r="393">
          <cell r="A393" t="str">
            <v>001.11.00500</v>
          </cell>
          <cell r="B393" t="str">
            <v>Confecção e Montagem de Forma incl. desforma comum de tábua  sem reaproveitamento</v>
          </cell>
          <cell r="C393" t="str">
            <v>M2</v>
          </cell>
          <cell r="D393">
            <v>43.688400000000001</v>
          </cell>
        </row>
        <row r="394">
          <cell r="A394" t="str">
            <v>001.11.00520</v>
          </cell>
          <cell r="B394" t="str">
            <v>Confecção e Montagem de Forma incl. desforma comum de tábua com 01 reaproveitamento</v>
          </cell>
          <cell r="C394" t="str">
            <v>M2</v>
          </cell>
          <cell r="D394">
            <v>26.528099999999998</v>
          </cell>
        </row>
        <row r="395">
          <cell r="A395" t="str">
            <v>001.11.00540</v>
          </cell>
          <cell r="B395" t="str">
            <v>Confecção e Montagem de Forma incl. desforma comum de tábua com 02 reaproveitamentos</v>
          </cell>
          <cell r="C395" t="str">
            <v>M2</v>
          </cell>
          <cell r="D395">
            <v>21.304200000000002</v>
          </cell>
        </row>
        <row r="396">
          <cell r="A396" t="str">
            <v>001.11.00560</v>
          </cell>
          <cell r="B396" t="str">
            <v>Confecção e Montagem de Forma incl. desforma comum de tábua  com 03 reaproveitamentos</v>
          </cell>
          <cell r="C396" t="str">
            <v>M2</v>
          </cell>
          <cell r="D396">
            <v>17.5379</v>
          </cell>
        </row>
        <row r="397">
          <cell r="A397" t="str">
            <v>001.11.00580</v>
          </cell>
          <cell r="B397" t="str">
            <v>Confecção e Montagem de Forma incl. desforma comum de tábua  com 04 reaproveitamentos</v>
          </cell>
          <cell r="C397" t="str">
            <v>M2</v>
          </cell>
          <cell r="D397">
            <v>15.749599999999999</v>
          </cell>
        </row>
        <row r="398">
          <cell r="A398" t="str">
            <v>001.11.00600</v>
          </cell>
          <cell r="B398" t="str">
            <v>Confecção e Montagem de Forma especial em chapa de madeira compensada do tipo resinada c/ 12 mm de espessura sem reaproveitamento</v>
          </cell>
          <cell r="C398" t="str">
            <v>M2</v>
          </cell>
          <cell r="D398">
            <v>43.020699999999998</v>
          </cell>
        </row>
        <row r="399">
          <cell r="A399" t="str">
            <v>001.11.00620</v>
          </cell>
          <cell r="B399" t="str">
            <v>Confecção e Montagem de Forma especial em chapa de madeira compensada do tipo resinada c/ 12 mm de espessura com 01 reaproveitamento</v>
          </cell>
          <cell r="C399" t="str">
            <v>M2</v>
          </cell>
          <cell r="D399">
            <v>36.861400000000003</v>
          </cell>
        </row>
        <row r="400">
          <cell r="A400" t="str">
            <v>001.11.00640</v>
          </cell>
          <cell r="B400" t="str">
            <v>Confecção e Montagem de Forma especial em chapa de madeira compensada do tipo resinada c/ 12 mm de espessura com 02 reaproveitamento</v>
          </cell>
          <cell r="C400" t="str">
            <v>M2</v>
          </cell>
          <cell r="D400">
            <v>31.7087</v>
          </cell>
        </row>
        <row r="401">
          <cell r="A401" t="str">
            <v>001.11.00660</v>
          </cell>
          <cell r="B401" t="str">
            <v>Confecção e Montagem de Forma especial em chapa de madeira compensada do tipo plastificada c/ 12 mm de espessura sem reaproveitamento</v>
          </cell>
          <cell r="C401" t="str">
            <v>M2</v>
          </cell>
          <cell r="D401">
            <v>54.434699999999999</v>
          </cell>
        </row>
        <row r="402">
          <cell r="A402" t="str">
            <v>001.11.00680</v>
          </cell>
          <cell r="B402" t="str">
            <v>Confecção e Montagem de Forma especial em chapa de madeira compensada do tipo plastificada c/ 12 mm de espessura com 01 reaproveitamento</v>
          </cell>
          <cell r="C402" t="str">
            <v>M2</v>
          </cell>
          <cell r="D402">
            <v>42.9054</v>
          </cell>
        </row>
        <row r="403">
          <cell r="A403" t="str">
            <v>001.11.00700</v>
          </cell>
          <cell r="B403" t="str">
            <v>Confecção e Montagem de Forma especial em chapa de madeira compensada do tipo plastificada c/ 12 mm de espessura com 02 reaproveitamento</v>
          </cell>
          <cell r="C403" t="str">
            <v>M2</v>
          </cell>
          <cell r="D403">
            <v>34.638100000000001</v>
          </cell>
        </row>
        <row r="404">
          <cell r="A404" t="str">
            <v>001.11.00720</v>
          </cell>
          <cell r="B404" t="str">
            <v>Confecção e Montagem de Forma especial em chapa de madeira compensada do tipo plastificada c/ 12 mm de espessura com 03 reaproveitamento</v>
          </cell>
          <cell r="C404" t="str">
            <v>M2</v>
          </cell>
          <cell r="D404">
            <v>29.270199999999999</v>
          </cell>
        </row>
        <row r="405">
          <cell r="A405" t="str">
            <v>001.11.00740</v>
          </cell>
          <cell r="B405" t="str">
            <v>Confecção e Montagem de Forma especial em chapa de madeira compensada do tipo plastificada c/ 12 mm de espessura com 04 reaproveitamento</v>
          </cell>
          <cell r="C405" t="str">
            <v>M2</v>
          </cell>
          <cell r="D405">
            <v>25.915800000000001</v>
          </cell>
        </row>
        <row r="406">
          <cell r="A406" t="str">
            <v>001.11.00760</v>
          </cell>
          <cell r="B406" t="str">
            <v>Execução de Laje pré-fabricada para forro espacamento entre vigas de 41cm a espessura da lajota de 8.00 cm e capeamento de 2.00 cm, incl tela soldada CA 60 4.20 mm 15 x 15 cm</v>
          </cell>
          <cell r="C406" t="str">
            <v>M2</v>
          </cell>
          <cell r="D406">
            <v>40.846499999999999</v>
          </cell>
        </row>
        <row r="407">
          <cell r="A407" t="str">
            <v>001.11.00780</v>
          </cell>
          <cell r="B407" t="str">
            <v>Execução de Laje pré-fabricada para piso espaçamento entre vigas de 41 cm a espessura da lajota de 8.00 cm e capeamento de 4.00 cm, incl tela soldada CA 60 4.20 mm 15 x 15 cm</v>
          </cell>
          <cell r="C407" t="str">
            <v>M2</v>
          </cell>
          <cell r="D407">
            <v>45.539200000000001</v>
          </cell>
        </row>
        <row r="408">
          <cell r="A408" t="str">
            <v>001.11.00800</v>
          </cell>
          <cell r="B408" t="str">
            <v>Execução de pilar tipo sanduíche de madeira 6x12 cm, entarugado c/ madeira através de parafusos</v>
          </cell>
          <cell r="C408" t="str">
            <v>ML</v>
          </cell>
          <cell r="D408">
            <v>20.293099999999999</v>
          </cell>
        </row>
        <row r="409">
          <cell r="A409" t="str">
            <v>001.11.00820</v>
          </cell>
          <cell r="B409" t="str">
            <v>Fornecimento e Execução de Grauteamento de Estrutura de Concreto Pré Moldado traço 1:3 incl. SuperPlastificante</v>
          </cell>
          <cell r="C409" t="str">
            <v>M3</v>
          </cell>
          <cell r="D409">
            <v>321.44830000000002</v>
          </cell>
        </row>
        <row r="410">
          <cell r="A410" t="str">
            <v>001.12</v>
          </cell>
          <cell r="B410" t="str">
            <v>IMPERMEABILIZAÇÕES E TRATAMENTOS</v>
          </cell>
        </row>
        <row r="411">
          <cell r="A411" t="str">
            <v>001.12.00020</v>
          </cell>
          <cell r="B411" t="str">
            <v>Execução de imunização de madeiramento de cobertura ou forro de madeira com aplicação de pentox claro a uma demão</v>
          </cell>
          <cell r="C411" t="str">
            <v>M2</v>
          </cell>
          <cell r="D411">
            <v>1.6821999999999999</v>
          </cell>
        </row>
        <row r="412">
          <cell r="A412" t="str">
            <v>001.12.00040</v>
          </cell>
          <cell r="B412" t="str">
            <v>Execução de pintura c/neutrol 45 c/ 02 demãos</v>
          </cell>
          <cell r="C412" t="str">
            <v>M2</v>
          </cell>
          <cell r="D412">
            <v>4.4884000000000004</v>
          </cell>
        </row>
        <row r="413">
          <cell r="A413" t="str">
            <v>001.12.00060</v>
          </cell>
          <cell r="B413" t="str">
            <v>Fornecimento e Instalação de Lona Plástica Preta ( Encerado)</v>
          </cell>
          <cell r="C413" t="str">
            <v>M2</v>
          </cell>
          <cell r="D413">
            <v>0.64170000000000005</v>
          </cell>
        </row>
        <row r="414">
          <cell r="A414" t="str">
            <v>001.12.00080</v>
          </cell>
          <cell r="B414" t="str">
            <v>Fornecimento e Instalação de Manta Tipo Bidim, com as seguintes características: permissividade de 120 l/s/m2; permeabilidade normal 4x10(-1) e resistência a tração na ruptura 425 N</v>
          </cell>
          <cell r="C414" t="str">
            <v>M2</v>
          </cell>
          <cell r="D414">
            <v>3.0396000000000001</v>
          </cell>
        </row>
        <row r="415">
          <cell r="A415" t="str">
            <v>001.12.00100</v>
          </cell>
          <cell r="B415" t="str">
            <v>Fornecimento e Instalação de Manta Tipo Bidim, com as seguintes características: permissividade de 100 l/s/m2; permeabilidade normal 4x10(-1) e resistência a tração na ruptura 750 N</v>
          </cell>
          <cell r="C415" t="str">
            <v>M2</v>
          </cell>
          <cell r="D415">
            <v>4.4150999999999998</v>
          </cell>
        </row>
        <row r="416">
          <cell r="A416" t="str">
            <v>001.12.00120</v>
          </cell>
          <cell r="B416" t="str">
            <v>Fornecimento e Aplicação de Nata de Cimento na proporção de 5 kg de cimento por m2</v>
          </cell>
          <cell r="C416" t="str">
            <v>M2</v>
          </cell>
          <cell r="D416">
            <v>1.8331</v>
          </cell>
        </row>
        <row r="417">
          <cell r="A417" t="str">
            <v>001.12.00140</v>
          </cell>
          <cell r="B417" t="str">
            <v>Fornecimento e Aplicação de chapisco de aderência c/argamassa de cimento e areia traço 1:3 e= 5 mm, incl. adesivo de alto desempenho para argamassas e chapisco.</v>
          </cell>
          <cell r="C417" t="str">
            <v>M2</v>
          </cell>
          <cell r="D417">
            <v>4.2816999999999998</v>
          </cell>
        </row>
        <row r="418">
          <cell r="A418" t="str">
            <v>001.12.00160</v>
          </cell>
          <cell r="B418" t="str">
            <v>Execução de regularização de laje com argamassa de cimento e areia 1:4 com cimento, espessura média igual a 3.00 cm, incl aplicação de nata de cimento para preparo de superficie.</v>
          </cell>
          <cell r="C418" t="str">
            <v>M2</v>
          </cell>
          <cell r="D418">
            <v>8.4579000000000004</v>
          </cell>
        </row>
        <row r="419">
          <cell r="A419" t="str">
            <v>001.12.00180</v>
          </cell>
          <cell r="B419" t="str">
            <v>Execução de proteção mecânica com argamassa de cimento e areia 1:3,espessura 2.00 cm</v>
          </cell>
          <cell r="C419" t="str">
            <v>M2</v>
          </cell>
          <cell r="D419">
            <v>6.0793999999999997</v>
          </cell>
        </row>
        <row r="420">
          <cell r="A420" t="str">
            <v>001.12.00200</v>
          </cell>
          <cell r="B420" t="str">
            <v>Execução de impermeabilização c/argamassa de cimento e areia 1:4 a 2.00 cm espessura c/ adição de 140 g/m2 de impermeabilizante, aplicação em parede como revestimento.</v>
          </cell>
          <cell r="C420" t="str">
            <v>M2</v>
          </cell>
          <cell r="D420">
            <v>14.7483</v>
          </cell>
        </row>
        <row r="421">
          <cell r="A421" t="str">
            <v>001.12.00220</v>
          </cell>
          <cell r="B421" t="str">
            <v>Execução de impermeabilização c/argamassa de cimento e areia 1:3 a 2.50 cm espessura c/ adição de 185 g/m2 de impermeabilizante, para impermeabilização de Reservatórios.</v>
          </cell>
          <cell r="C421" t="str">
            <v>M2</v>
          </cell>
          <cell r="D421">
            <v>15.434699999999999</v>
          </cell>
        </row>
        <row r="422">
          <cell r="A422" t="str">
            <v>001.12.00240</v>
          </cell>
          <cell r="B422" t="str">
            <v>Fornecimento e Aplicação de Impermeabilizante Cristalizante Sobre Superfície Perfeitamente Regularizada</v>
          </cell>
          <cell r="C422" t="str">
            <v>M2</v>
          </cell>
          <cell r="D422">
            <v>6.7965</v>
          </cell>
        </row>
        <row r="423">
          <cell r="A423" t="str">
            <v>001.12.00260</v>
          </cell>
          <cell r="B423" t="str">
            <v>Execução de impermeabilização de laje de cobertura com utilização de manta asfáltica poliéster 3.00 mm</v>
          </cell>
          <cell r="C423" t="str">
            <v>M2</v>
          </cell>
          <cell r="D423">
            <v>26.46</v>
          </cell>
        </row>
        <row r="424">
          <cell r="A424" t="str">
            <v>001.12.00280</v>
          </cell>
          <cell r="B424" t="str">
            <v>Execução de impermeabilização de laje de cobertura com utilização de manta asfáltica poliéster 4.00 mm</v>
          </cell>
          <cell r="C424" t="str">
            <v>M2</v>
          </cell>
          <cell r="D424">
            <v>28.497</v>
          </cell>
        </row>
        <row r="425">
          <cell r="A425" t="str">
            <v>001.12.00300</v>
          </cell>
          <cell r="B425" t="str">
            <v>Fornecimento e Aplicação de Isopor e = 5,00 cm, conf. Det. Sinfra n.01</v>
          </cell>
          <cell r="C425" t="str">
            <v>M2</v>
          </cell>
          <cell r="D425">
            <v>7.4351000000000003</v>
          </cell>
        </row>
        <row r="426">
          <cell r="A426" t="str">
            <v>001.13</v>
          </cell>
          <cell r="B426" t="str">
            <v>ALVENARIA</v>
          </cell>
        </row>
        <row r="427">
          <cell r="A427" t="str">
            <v>001.13.00020</v>
          </cell>
          <cell r="B427" t="str">
            <v>Execução de alvenaria de elevação de tijolo maciço assente c/ argamassa de cimento e areia no traço 1:3 de 1/4 vez</v>
          </cell>
          <cell r="C427" t="str">
            <v>M2</v>
          </cell>
          <cell r="D427">
            <v>16.835699999999999</v>
          </cell>
        </row>
        <row r="428">
          <cell r="A428" t="str">
            <v>001.13.00040</v>
          </cell>
          <cell r="B428" t="str">
            <v>Execução de alvenaria de elevação de tijolo maciço assente c/ argamassa de cimento e areia no traço 1:3 de 1/2 vez</v>
          </cell>
          <cell r="C428" t="str">
            <v>M2</v>
          </cell>
          <cell r="D428">
            <v>31.627199999999998</v>
          </cell>
        </row>
        <row r="429">
          <cell r="A429" t="str">
            <v>001.13.00060</v>
          </cell>
          <cell r="B429" t="str">
            <v>Execução de alvenaria de elevação de tijolo maciço assente c/ argamassa de cimento e areia no traço 1:3 de 1 vez</v>
          </cell>
          <cell r="C429" t="str">
            <v>M2</v>
          </cell>
          <cell r="D429">
            <v>55.8735</v>
          </cell>
        </row>
        <row r="430">
          <cell r="A430" t="str">
            <v>001.13.00080</v>
          </cell>
          <cell r="B430" t="str">
            <v>Execução de alvenaria de elevação de tijolo maciço assente c/ argamassa de cal e areia no traço de 1:4 de 1/4 vez</v>
          </cell>
          <cell r="C430" t="str">
            <v>M2</v>
          </cell>
          <cell r="D430">
            <v>15.031000000000001</v>
          </cell>
        </row>
        <row r="431">
          <cell r="A431" t="str">
            <v>001.13.00100</v>
          </cell>
          <cell r="B431" t="str">
            <v>Execução de alvenaria de elevação de tijolo maciço assente c/ argamassa de cal e areia no traço de 1:4 de 1/2 vez</v>
          </cell>
          <cell r="C431" t="str">
            <v>M2</v>
          </cell>
          <cell r="D431">
            <v>27.986699999999999</v>
          </cell>
        </row>
        <row r="432">
          <cell r="A432" t="str">
            <v>001.13.00120</v>
          </cell>
          <cell r="B432" t="str">
            <v>Execução de alvenaria de elevação de tijolo maciço assente c/ argamassa de cal e areia no traço de 1:4 de 1 vez</v>
          </cell>
          <cell r="C432" t="str">
            <v>M2</v>
          </cell>
          <cell r="D432">
            <v>50.438299999999998</v>
          </cell>
        </row>
        <row r="433">
          <cell r="A433" t="str">
            <v>001.13.00140</v>
          </cell>
          <cell r="B433" t="str">
            <v>Execução de alvenaria de tijolo maciço assente c/ argamassa de cimento e areia no traço 1:4 de 1/4 vez</v>
          </cell>
          <cell r="C433" t="str">
            <v>M2</v>
          </cell>
          <cell r="D433">
            <v>17.320699999999999</v>
          </cell>
        </row>
        <row r="434">
          <cell r="A434" t="str">
            <v>001.13.00160</v>
          </cell>
          <cell r="B434" t="str">
            <v>Execução de alvenaria de tijolo maciço assente c/ argamassa de cimento e areia no traço 1:4 de 1/2 vez</v>
          </cell>
          <cell r="C434" t="str">
            <v>M2</v>
          </cell>
          <cell r="D434">
            <v>29.466799999999999</v>
          </cell>
        </row>
        <row r="435">
          <cell r="A435" t="str">
            <v>001.13.00180</v>
          </cell>
          <cell r="B435" t="str">
            <v>Execução de alvenaria de tijolo maciço assente c/ argamassa de cimento e areia no traço 1:4 de 1 vez</v>
          </cell>
          <cell r="C435" t="str">
            <v>M2</v>
          </cell>
          <cell r="D435">
            <v>54.267699999999998</v>
          </cell>
        </row>
        <row r="436">
          <cell r="A436" t="str">
            <v>001.13.00200</v>
          </cell>
          <cell r="B436" t="str">
            <v>Execução de alvenaria de elevação c/ tijolo maciço assente c/ argamassa mista de cimento cal e areia no traço 1:2:8 de de 1/4 vez</v>
          </cell>
          <cell r="C436" t="str">
            <v>M2</v>
          </cell>
          <cell r="D436">
            <v>16.0505</v>
          </cell>
        </row>
        <row r="437">
          <cell r="A437" t="str">
            <v>001.13.00220</v>
          </cell>
          <cell r="B437" t="str">
            <v>Execução de alvenaria de elevação c/ tijolo maciço assente c/ argamassa mista de cimento cal e areia no traço 1:2:8 de de 1/2 vez</v>
          </cell>
          <cell r="C437" t="str">
            <v>M2</v>
          </cell>
          <cell r="D437">
            <v>30.383099999999999</v>
          </cell>
        </row>
        <row r="438">
          <cell r="A438" t="str">
            <v>001.13.00240</v>
          </cell>
          <cell r="B438" t="str">
            <v>Execução de alvenaria de elevação c/ tijolo maciço assente c/ argamassa mista de cimento cal e areia no traço 1:2:8 de de 1 vez</v>
          </cell>
          <cell r="C438" t="str">
            <v>M2</v>
          </cell>
          <cell r="D438">
            <v>54.033099999999997</v>
          </cell>
        </row>
        <row r="439">
          <cell r="A439" t="str">
            <v>001.13.00260</v>
          </cell>
          <cell r="B439" t="str">
            <v>Execução de alvenaria de elevação c/ tijolo cerâmico 9x19x19 assente c/ argamassa mista 1:2:8 de 1/2 vez</v>
          </cell>
          <cell r="C439" t="str">
            <v>M2</v>
          </cell>
          <cell r="D439">
            <v>11.696899999999999</v>
          </cell>
        </row>
        <row r="440">
          <cell r="A440" t="str">
            <v>001.13.00280</v>
          </cell>
          <cell r="B440" t="str">
            <v>Execução de alvenaria de elevação c/ tijolo cerâmico 9x19x19 assente c/ argamassa mista 1:2:8 de 1/2 vez, Incl. Montagem e Desmontagem de Andaimes Metálicos Tubulares</v>
          </cell>
          <cell r="C440" t="str">
            <v>M2</v>
          </cell>
          <cell r="D440">
            <v>12.0486</v>
          </cell>
        </row>
        <row r="441">
          <cell r="A441" t="str">
            <v>001.13.00300</v>
          </cell>
          <cell r="B441" t="str">
            <v>Execução de alvenaria de elevação c/ tijolo cerâmico 9x19x19 assente c/ argamassa mista 1:2:8 de 1 vez</v>
          </cell>
          <cell r="C441" t="str">
            <v>M2</v>
          </cell>
          <cell r="D441">
            <v>23.5395</v>
          </cell>
        </row>
        <row r="442">
          <cell r="A442" t="str">
            <v>001.13.00320</v>
          </cell>
          <cell r="B442" t="str">
            <v>Execução de alvenaria de elevação c/ tijolo cerâmico 9x19x19 assente c/ argamassa mista 1:2:8 de 1 vez, Incl. Montagem e Desmontagem de Andaimes Metálicos Tubulares</v>
          </cell>
          <cell r="C442" t="str">
            <v>M2</v>
          </cell>
          <cell r="D442">
            <v>23.891200000000001</v>
          </cell>
        </row>
        <row r="443">
          <cell r="A443" t="str">
            <v>001.13.00340</v>
          </cell>
          <cell r="B443" t="str">
            <v>Alvenaria de vedação com bloco cerâmico furado dim. 9x19x28, com juntas de 20 mm com argamassa mista de cimento, cal hidratada e areia sem peneirar no traço 1:2:9</v>
          </cell>
          <cell r="C443" t="str">
            <v>M2</v>
          </cell>
          <cell r="D443">
            <v>12.6557</v>
          </cell>
        </row>
        <row r="444">
          <cell r="A444" t="str">
            <v>001.13.00360</v>
          </cell>
          <cell r="B444" t="str">
            <v>Alvenaria de vedação com bloco cerâmico furado dim. 9x19x28, com juntas de 20 mm com argamassa mista de cimento, cal hidratada e areia sem peneirar no traço 1:2:9, Incl. Montagem e Desmontagem de Andaimes Metálicos Tubulares</v>
          </cell>
          <cell r="C444" t="str">
            <v>M2</v>
          </cell>
          <cell r="D444">
            <v>13.007400000000001</v>
          </cell>
        </row>
        <row r="445">
          <cell r="A445" t="str">
            <v>001.13.00380</v>
          </cell>
          <cell r="B445" t="str">
            <v>Alvenaria de vedação com bloco cerâmico furado dim.12x19x28, com juntas de 20 mm com argamassa mista de cimento, cal hidratada e areia sem peneirar no traço 1:2:9</v>
          </cell>
          <cell r="C445" t="str">
            <v>M2</v>
          </cell>
          <cell r="D445">
            <v>15.801500000000001</v>
          </cell>
        </row>
        <row r="446">
          <cell r="A446" t="str">
            <v>001.13.00400</v>
          </cell>
          <cell r="B446" t="str">
            <v>Alvenaria de vedação com bloco cerâmico furado dim.12x19x28, com juntas de 20 mm com argamassa mista de cimento, cal hidratada e areia sem peneirar no traço 1:2:9, Incl. Montagem e Desmontagem de Andaimes Metálicos Tubulares</v>
          </cell>
          <cell r="C446" t="str">
            <v>M2</v>
          </cell>
          <cell r="D446">
            <v>16.153199999999998</v>
          </cell>
        </row>
        <row r="447">
          <cell r="A447" t="str">
            <v>001.13.00420</v>
          </cell>
          <cell r="B447" t="str">
            <v>Alvenaria de vedação com bloco cerâmico furado dim.14x19x28, com juntas de 20 mm com argamassa mista de cimento, cal hidratada e areia sem peneirar no traço 1:2:9</v>
          </cell>
          <cell r="C447" t="str">
            <v>M2</v>
          </cell>
          <cell r="D447">
            <v>20.558199999999999</v>
          </cell>
        </row>
        <row r="448">
          <cell r="A448" t="str">
            <v>001.13.00440</v>
          </cell>
          <cell r="B448" t="str">
            <v>Alvenaria de vedação com bloco cerâmico furado dim.14x19x28, com juntas de 20 mm com argamassa mista de cimento, cal hidratada e areia sem peneirar no traço 1:2:9, Incl. Montagem e Desmontagem de Andaimes Metálicos Tubulares</v>
          </cell>
          <cell r="C448" t="str">
            <v>M2</v>
          </cell>
          <cell r="D448">
            <v>20.9099</v>
          </cell>
        </row>
        <row r="449">
          <cell r="A449" t="str">
            <v>001.13.00460</v>
          </cell>
          <cell r="B449" t="str">
            <v>Alvenaria de Vedação Com Bloco de Concreto, Juntas de 10 mm Com Argamassa Mista de Cimento, Cal Hidratada e Areia Sem Peneirar no traço 1:0,50:8 dim. 11,50x19x39 cm</v>
          </cell>
          <cell r="C449" t="str">
            <v>M2</v>
          </cell>
          <cell r="D449">
            <v>15.8893</v>
          </cell>
        </row>
        <row r="450">
          <cell r="A450" t="str">
            <v>001.13.00480</v>
          </cell>
          <cell r="B450" t="str">
            <v>Alvenaria de Vedação Com Bloco de Concreto, Juntas de 10 mm Com Argamassa Mista de Cimento, Cal Hidratada e Areia Sem Peneirar no traço 1:0,50:8 dim. 11,50x19x39 cm, Incl. Montagem e Desmontagem de Andaimes Metálicos Tubulares</v>
          </cell>
          <cell r="C450" t="str">
            <v>M2</v>
          </cell>
          <cell r="D450">
            <v>16.241</v>
          </cell>
        </row>
        <row r="451">
          <cell r="A451" t="str">
            <v>001.13.00500</v>
          </cell>
          <cell r="B451" t="str">
            <v>Alvenaria de Vedação Com Bloco de Concreto, Juntas de 10 mm Com Argamassa Mista de Cimento, Cal Hidratada e Areia Sem Peneirar no traço 1:0,50:8 dim. 14x19x39 cm</v>
          </cell>
          <cell r="C451" t="str">
            <v>M2</v>
          </cell>
          <cell r="D451">
            <v>20.972899999999999</v>
          </cell>
        </row>
        <row r="452">
          <cell r="A452" t="str">
            <v>001.13.00520</v>
          </cell>
          <cell r="B452" t="str">
            <v>Alvenaria de Vedação Com Bloco de Concreto, Juntas de 10 mm Com Argamassa Mista de Cimento, Cal Hidratada e Areia Sem Peneirar no traço 1:0,50:8 dim. 14x19x39 cm, Incl. Montagem e Desmontagem de Andaimes Metálicos Tubulares</v>
          </cell>
          <cell r="C452" t="str">
            <v>M2</v>
          </cell>
          <cell r="D452">
            <v>21.3246</v>
          </cell>
        </row>
        <row r="453">
          <cell r="A453" t="str">
            <v>001.13.00540</v>
          </cell>
          <cell r="B453" t="str">
            <v>Alvenaria de Vedação Com Bloco de Concreto, Juntas de 10 mm Com Argamassa Mista de Cimento, Cal Hidratada e Areia Sem Peneirar no traço 1:0,50:8 dim. 19x19x39 cm</v>
          </cell>
          <cell r="C453" t="str">
            <v>M2</v>
          </cell>
          <cell r="D453">
            <v>25.536000000000001</v>
          </cell>
        </row>
        <row r="454">
          <cell r="A454" t="str">
            <v>001.13.00560</v>
          </cell>
          <cell r="B454" t="str">
            <v>Alvenaria de Vedação Com Bloco de Concreto, Juntas de 10 mm Com Argamassa Mista de Cimento, Cal Hidratada e Areia Sem Peneirar no traço 1:0,50:8 dim. 19x19x39 cm, Incl. Montagem e Desmontagem de Andaimes Metálicos Tubulares</v>
          </cell>
          <cell r="C454" t="str">
            <v>M2</v>
          </cell>
          <cell r="D454">
            <v>25.887699999999999</v>
          </cell>
        </row>
        <row r="455">
          <cell r="A455" t="str">
            <v>001.13.00580</v>
          </cell>
          <cell r="B455" t="str">
            <v>Alvenaria Estrutural Com Bloco de Concreto, Juntas de 10 mm Com Argamassa Mista de Cimento, Cal Hidratada e Areia Sem Peneirar no traço 1:0,25:6 dim. 14x19x39 cm</v>
          </cell>
          <cell r="C455" t="str">
            <v>M2</v>
          </cell>
          <cell r="D455">
            <v>22.700099999999999</v>
          </cell>
        </row>
        <row r="456">
          <cell r="A456" t="str">
            <v>001.13.00600</v>
          </cell>
          <cell r="B456" t="str">
            <v>Alvenaria Estrutural Com Bloco de Concreto, Juntas de 10 mm Com Argamassa Mista de Cimento, Cal Hidratada e Areia Sem Peneirar no traço 1:0,25:6 dim. 14x19x39 cm, Incl. Montagem e Desmontagem de Andaimes Metálicos Tubulares</v>
          </cell>
          <cell r="C456" t="str">
            <v>M2</v>
          </cell>
          <cell r="D456">
            <v>23.0518</v>
          </cell>
        </row>
        <row r="457">
          <cell r="A457" t="str">
            <v>001.13.00620</v>
          </cell>
          <cell r="B457" t="str">
            <v>Alvenaria Estrutural Com Bloco de Concreto, Juntas de 10 mm Com Argamassa Mista de Cimento, Cal Hidratada e Areia Sem Peneirar no traço 1:0,25:6 dim. 19x19x39 cm</v>
          </cell>
          <cell r="C457" t="str">
            <v>M2</v>
          </cell>
          <cell r="D457">
            <v>29.473500000000001</v>
          </cell>
        </row>
        <row r="458">
          <cell r="A458" t="str">
            <v>001.13.00640</v>
          </cell>
          <cell r="B458" t="str">
            <v>Alvenaria Estrutural Com Bloco de Concreto, Juntas de 10 mm Com Argamassa Mista de Cimento, Cal Hidratada e Areia Sem Peneirar no traço 1:0,25:6 dim. 19x19x39 cm, Incl. Montagem e Desmontagem de Andaimes Metálicos Tubulares</v>
          </cell>
          <cell r="C458" t="str">
            <v>M2</v>
          </cell>
          <cell r="D458">
            <v>29.825199999999999</v>
          </cell>
        </row>
        <row r="459">
          <cell r="A459" t="str">
            <v>001.13.00660</v>
          </cell>
          <cell r="B459" t="str">
            <v>Execução de alvenaria aparente de tijolo cerâmico c/ 18 ou 21 furos (dim. 6.00x10.00x21.00 cm) assente c/ argamassa de cimento e areia no traço 1:2:8 de 1/2 vez</v>
          </cell>
          <cell r="C459" t="str">
            <v>M2</v>
          </cell>
          <cell r="D459">
            <v>37.975200000000001</v>
          </cell>
        </row>
        <row r="460">
          <cell r="A460" t="str">
            <v>001.13.00680</v>
          </cell>
          <cell r="B460" t="str">
            <v>Execução de alvenaria aparente de tijolo cerâmico c/ 18 ou 21 furos (dim. 6.00x10.00x21.00 cm) assente c/ argamassa de cimento e areia no traço 1:2:8 de 1 vez</v>
          </cell>
          <cell r="C460" t="str">
            <v>M2</v>
          </cell>
          <cell r="D460">
            <v>81.171499999999995</v>
          </cell>
        </row>
        <row r="461">
          <cell r="A461" t="str">
            <v>001.13.00700</v>
          </cell>
          <cell r="B461" t="str">
            <v>Execução de elemento vazado de cerâmica assente c/ argamassa de cimento e areia peneirada no traço 1:3</v>
          </cell>
          <cell r="C461" t="str">
            <v>M2</v>
          </cell>
          <cell r="D461">
            <v>27.141300000000001</v>
          </cell>
        </row>
        <row r="462">
          <cell r="A462" t="str">
            <v>001.13.00720</v>
          </cell>
          <cell r="B462" t="str">
            <v>Verga, contra-verga ou pilar de concreto armado, incluindo concreto, forma e ferragem com concreto 13,5 mpa (300kg. cim/m3)</v>
          </cell>
          <cell r="C462" t="str">
            <v>M3</v>
          </cell>
          <cell r="D462">
            <v>536.03639999999996</v>
          </cell>
        </row>
        <row r="463">
          <cell r="A463" t="str">
            <v>001.14</v>
          </cell>
          <cell r="B463" t="str">
            <v>COBERTURA</v>
          </cell>
        </row>
        <row r="464">
          <cell r="A464" t="str">
            <v>001.14.00020</v>
          </cell>
          <cell r="B464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464" t="str">
            <v>KG</v>
          </cell>
          <cell r="D464">
            <v>5.625</v>
          </cell>
        </row>
        <row r="465">
          <cell r="A465" t="str">
            <v>001.14.00040</v>
          </cell>
          <cell r="B465" t="str">
            <v>Estrutura de madeira para telha de cerâmica ou de concreto, pontaletada sobre laje ou parede</v>
          </cell>
          <cell r="C465" t="str">
            <v>M2</v>
          </cell>
          <cell r="D465">
            <v>25.344999999999999</v>
          </cell>
        </row>
        <row r="466">
          <cell r="A466" t="str">
            <v>001.14.00060</v>
          </cell>
          <cell r="B466" t="str">
            <v>Estrutura de madeira para telha de fibrocimento, alumínio ou aço zincado pontaletada sobre laje ou parede</v>
          </cell>
          <cell r="C466" t="str">
            <v>M2</v>
          </cell>
          <cell r="D466">
            <v>7.6840000000000002</v>
          </cell>
        </row>
        <row r="467">
          <cell r="A467" t="str">
            <v>001.14.00080</v>
          </cell>
          <cell r="B467" t="str">
            <v>Estrutura de madeira para telhado, c/ distância entre tesouras 4.00 m, 02 águas, p/ cobertura c/ chapa ondulada de c.a. ou alumínio, com 10 m de vão</v>
          </cell>
          <cell r="C467" t="str">
            <v>M2</v>
          </cell>
          <cell r="D467">
            <v>20.405999999999999</v>
          </cell>
        </row>
        <row r="468">
          <cell r="A468" t="str">
            <v>001.14.00100</v>
          </cell>
          <cell r="B468" t="str">
            <v>Estrutura de madeira para telhado, c/ distância entre tesouras 4.00 m, 02 águas, p/ cobertura c/ chapa ondulada de c.a. ou alumínio, com 15 m de vão</v>
          </cell>
          <cell r="C468" t="str">
            <v>M2</v>
          </cell>
          <cell r="D468">
            <v>24.371099999999998</v>
          </cell>
        </row>
        <row r="469">
          <cell r="A469" t="str">
            <v>001.14.00120</v>
          </cell>
          <cell r="B469" t="str">
            <v>Estrutura de madeira para telhado, c/ distância entre tesouras 4.00 m, 02 águas, p/ cobertura c/ chapa ondulada de c.a. ou alumínio, com 20 m de vão</v>
          </cell>
          <cell r="C469" t="str">
            <v>M2</v>
          </cell>
          <cell r="D469">
            <v>30.5718</v>
          </cell>
        </row>
        <row r="470">
          <cell r="A470" t="str">
            <v>001.14.00140</v>
          </cell>
          <cell r="B470" t="str">
            <v>Estrutura de madeira para telhado, c/ distância entre tesouras 4.00 m, 04 águas p/ cobertura c/ chapas onduladas de c.a ou alumínio, com 10 m de vao</v>
          </cell>
          <cell r="C470" t="str">
            <v>M2</v>
          </cell>
          <cell r="D470">
            <v>23.230899999999998</v>
          </cell>
        </row>
        <row r="471">
          <cell r="A471" t="str">
            <v>001.14.00160</v>
          </cell>
          <cell r="B471" t="str">
            <v>Execução de estrutura de madeira para telhado, c/ distância entre tesouras 4.00 m, 04 águas p/ cobertura c/ chapas onduladas de c.a ou alumínio, com 15 m de vao</v>
          </cell>
          <cell r="C471" t="str">
            <v>M2</v>
          </cell>
          <cell r="D471">
            <v>26.932500000000001</v>
          </cell>
        </row>
        <row r="472">
          <cell r="A472" t="str">
            <v>001.14.00180</v>
          </cell>
          <cell r="B472" t="str">
            <v>Execução de estrutura de madeira para telhado, c/ distância entre tesouras 4.00 m, 04 águas p/ cobertura c/ chapas onduladas de c.a ou alumínio, com 20 m de vao</v>
          </cell>
          <cell r="C472" t="str">
            <v>M2</v>
          </cell>
          <cell r="D472">
            <v>35.306199999999997</v>
          </cell>
        </row>
        <row r="473">
          <cell r="A473" t="str">
            <v>001.14.00200</v>
          </cell>
          <cell r="B473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473" t="str">
            <v>M2</v>
          </cell>
          <cell r="D473">
            <v>27.779800000000002</v>
          </cell>
        </row>
        <row r="474">
          <cell r="A474" t="str">
            <v>001.14.00220</v>
          </cell>
          <cell r="B474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474" t="str">
            <v>M2</v>
          </cell>
          <cell r="D474">
            <v>31.594899999999999</v>
          </cell>
        </row>
        <row r="475">
          <cell r="A475" t="str">
            <v>001.14.00240</v>
          </cell>
          <cell r="B475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475" t="str">
            <v>M2</v>
          </cell>
          <cell r="D475">
            <v>35.892000000000003</v>
          </cell>
        </row>
        <row r="476">
          <cell r="A476" t="str">
            <v>001.14.00260</v>
          </cell>
          <cell r="B476" t="str">
            <v>Estrutura de madeira para  telhas canalete 90 ou 43</v>
          </cell>
          <cell r="C476" t="str">
            <v>M2</v>
          </cell>
          <cell r="D476">
            <v>7.6298000000000004</v>
          </cell>
        </row>
        <row r="477">
          <cell r="A477" t="str">
            <v>001.14.00280</v>
          </cell>
          <cell r="B477" t="str">
            <v>Execução de estrutura de madeira para casa popular em telha ceramica</v>
          </cell>
          <cell r="C477" t="str">
            <v>M2</v>
          </cell>
          <cell r="D477">
            <v>15.4032</v>
          </cell>
        </row>
        <row r="478">
          <cell r="A478" t="str">
            <v>001.14.00300</v>
          </cell>
          <cell r="B478" t="str">
            <v>Execução de Cobertura com telha cerâmica tipo """"""""plan"""""""", inclinação 35%</v>
          </cell>
          <cell r="C478" t="str">
            <v>M2</v>
          </cell>
          <cell r="D478">
            <v>21.0335</v>
          </cell>
        </row>
        <row r="479">
          <cell r="A479" t="str">
            <v>001.14.00320</v>
          </cell>
          <cell r="B479" t="str">
            <v>Execução de Cobertura com telha ceramica tipo portuguesa, inclinação 35%</v>
          </cell>
          <cell r="C479" t="str">
            <v>M2</v>
          </cell>
          <cell r="D479">
            <v>17.005600000000001</v>
          </cell>
        </row>
        <row r="480">
          <cell r="A480" t="str">
            <v>001.14.00340</v>
          </cell>
          <cell r="B480" t="str">
            <v>Execução de Cobertura com telha cerâmica tipo colonial, inclinação 35%</v>
          </cell>
          <cell r="C480" t="str">
            <v>M2</v>
          </cell>
          <cell r="D480">
            <v>26.1114</v>
          </cell>
        </row>
        <row r="481">
          <cell r="A481" t="str">
            <v>001.14.00360</v>
          </cell>
          <cell r="B481" t="str">
            <v>Execução de Cobertura com telha cerâmica tipo romana inclinação 35%</v>
          </cell>
          <cell r="C481" t="str">
            <v>M2</v>
          </cell>
          <cell r="D481">
            <v>16.585599999999999</v>
          </cell>
        </row>
        <row r="482">
          <cell r="A482" t="str">
            <v>001.14.00380</v>
          </cell>
          <cell r="B482" t="str">
            <v>Execução de Cobertura com telha cerâmica tipo tipo francesa, inclinação 35%</v>
          </cell>
          <cell r="C482" t="str">
            <v>M2</v>
          </cell>
          <cell r="D482">
            <v>16.9496</v>
          </cell>
        </row>
        <row r="483">
          <cell r="A483" t="str">
            <v>001.14.00400</v>
          </cell>
          <cell r="B483" t="str">
            <v>Fornecimento de Instalação de Cobertura com chapas onduladas de cimento amianto altura 24 mm, largura útil 450 mm, largura nominal  500 mm, de 4 mm de espessura, inclinação 27%</v>
          </cell>
          <cell r="C483" t="str">
            <v>M2</v>
          </cell>
          <cell r="D483">
            <v>5.5449999999999999</v>
          </cell>
        </row>
        <row r="484">
          <cell r="A484" t="str">
            <v>001.14.00420</v>
          </cell>
          <cell r="B484" t="str">
            <v>Fornecimento e Instalação de Cobertura com chapas onduladas de cimento amianto, altura 125 mm, largura útil 1.020 mm e largura nominal 1.064 mm, de 5 mm de espessura, inclinação 27%</v>
          </cell>
          <cell r="C484" t="str">
            <v>M2</v>
          </cell>
          <cell r="D484">
            <v>15.4031</v>
          </cell>
        </row>
        <row r="485">
          <cell r="A485" t="str">
            <v>001.14.00440</v>
          </cell>
          <cell r="B485" t="str">
            <v>Fornecimento e Instalação de Cobertura com chapas onduladas de cimento amianto, altura 125 mm, largura útil 1.020 mm e largura nominal 1.064 mm, de 6 mm de espessura, inclinação 27%</v>
          </cell>
          <cell r="C485" t="str">
            <v>M2</v>
          </cell>
          <cell r="D485">
            <v>18.062000000000001</v>
          </cell>
        </row>
        <row r="486">
          <cell r="A486" t="str">
            <v>001.14.00460</v>
          </cell>
          <cell r="B486" t="str">
            <v>Fornecimento e Instalação de Cobertura de cimento amianto, perfil trapezoidal,altura 181 mm, largura útil 490 mm, largura nominal 521 mm, de 8 mm de espessura, inclinação 3%</v>
          </cell>
          <cell r="C486" t="str">
            <v>M2</v>
          </cell>
          <cell r="D486">
            <v>22.801200000000001</v>
          </cell>
        </row>
        <row r="487">
          <cell r="A487" t="str">
            <v>001.14.00480</v>
          </cell>
          <cell r="B487" t="str">
            <v>Fornecimento e Instalação de Cobertura com telhas onduladas de poliester c/reforço de fibra de vidro</v>
          </cell>
          <cell r="C487" t="str">
            <v>M2</v>
          </cell>
          <cell r="D487">
            <v>29.2895</v>
          </cell>
        </row>
        <row r="488">
          <cell r="A488" t="str">
            <v>001.14.00500</v>
          </cell>
          <cell r="B488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488" t="str">
            <v>M2</v>
          </cell>
          <cell r="D488">
            <v>27.779499999999999</v>
          </cell>
        </row>
        <row r="489">
          <cell r="A489" t="str">
            <v>001.14.00520</v>
          </cell>
          <cell r="B489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489" t="str">
            <v>M2</v>
          </cell>
          <cell r="D489">
            <v>32.747500000000002</v>
          </cell>
        </row>
        <row r="490">
          <cell r="A490" t="str">
            <v>001.14.00540</v>
          </cell>
          <cell r="B490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490" t="str">
            <v>M2</v>
          </cell>
          <cell r="D490">
            <v>38.929900000000004</v>
          </cell>
        </row>
        <row r="491">
          <cell r="A491" t="str">
            <v>001.14.00560</v>
          </cell>
          <cell r="B491" t="str">
            <v>Execução de Cumeeira para telha de barro tipo francesa</v>
          </cell>
          <cell r="C491" t="str">
            <v>ML</v>
          </cell>
          <cell r="D491">
            <v>9.5967000000000002</v>
          </cell>
        </row>
        <row r="492">
          <cell r="A492" t="str">
            <v>001.14.00580</v>
          </cell>
          <cell r="B492" t="str">
            <v>Execução de Cumeeira para telha de barro tipo paulista ou colonial</v>
          </cell>
          <cell r="C492" t="str">
            <v>ML</v>
          </cell>
          <cell r="D492">
            <v>9.5967000000000002</v>
          </cell>
        </row>
        <row r="493">
          <cell r="A493" t="str">
            <v>001.14.00600</v>
          </cell>
          <cell r="B493" t="str">
            <v>Execução de Cumeeira para telha tipo romana</v>
          </cell>
          <cell r="C493" t="str">
            <v>ML</v>
          </cell>
          <cell r="D493">
            <v>8.9967000000000006</v>
          </cell>
        </row>
        <row r="494">
          <cell r="A494" t="str">
            <v>001.14.00620</v>
          </cell>
          <cell r="B494" t="str">
            <v>Fornecimento e Instalação de Cumeeira de cimento amianto normal p/telhas onduladas</v>
          </cell>
          <cell r="C494" t="str">
            <v>ML</v>
          </cell>
          <cell r="D494">
            <v>27.043500000000002</v>
          </cell>
        </row>
        <row r="495">
          <cell r="A495" t="str">
            <v>001.14.00640</v>
          </cell>
          <cell r="B495" t="str">
            <v>Fornecimento e Instalação de Cumeeira de cimento amianto universal p/telhas onduladas</v>
          </cell>
          <cell r="C495" t="str">
            <v>ML</v>
          </cell>
          <cell r="D495">
            <v>31.234500000000001</v>
          </cell>
        </row>
        <row r="496">
          <cell r="A496" t="str">
            <v>001.14.00660</v>
          </cell>
          <cell r="B496" t="str">
            <v>Fornecimento e Instalação de Cumeeira de cimento amianto para canalete 90</v>
          </cell>
          <cell r="C496" t="str">
            <v>ML</v>
          </cell>
          <cell r="D496">
            <v>30.856000000000002</v>
          </cell>
        </row>
        <row r="497">
          <cell r="A497" t="str">
            <v>001.14.00680</v>
          </cell>
          <cell r="B497" t="str">
            <v>Fornecimento e Instalação de Cumeeira de cimento amianto p/canalete 49</v>
          </cell>
          <cell r="C497" t="str">
            <v>ML</v>
          </cell>
          <cell r="D497">
            <v>30.856000000000002</v>
          </cell>
        </row>
        <row r="498">
          <cell r="A498" t="str">
            <v>001.14.00700</v>
          </cell>
          <cell r="B498" t="str">
            <v>Fornecimento e Instalação de Cumeeira de cimento amianto p/ telha vogatex</v>
          </cell>
          <cell r="C498" t="str">
            <v>ML</v>
          </cell>
          <cell r="D498">
            <v>7.2601000000000004</v>
          </cell>
        </row>
        <row r="499">
          <cell r="A499" t="str">
            <v>001.14.00720</v>
          </cell>
          <cell r="B499" t="str">
            <v>Fornecimento e Instalação de Cumeeira Metálica Zincada  0.43 mm  (Trapézio Alto ou Baixo)</v>
          </cell>
          <cell r="C499" t="str">
            <v>ML</v>
          </cell>
          <cell r="D499">
            <v>17.327100000000002</v>
          </cell>
        </row>
        <row r="500">
          <cell r="A500" t="str">
            <v>001.14.00740</v>
          </cell>
          <cell r="B500" t="str">
            <v>Fornecimento e Instalação de Cumeeira Metálica Zincada  0.43 mm (Trapézio Alto ou Baixo) Com Pintura Eletrostática</v>
          </cell>
          <cell r="C500" t="str">
            <v>ML</v>
          </cell>
          <cell r="D500">
            <v>20.716799999999999</v>
          </cell>
        </row>
        <row r="501">
          <cell r="A501" t="str">
            <v>001.14.00760</v>
          </cell>
          <cell r="B501" t="str">
            <v>Fornecimento e Instalação de Tampão de cimento aminato para canalete 90 (723x215) mm</v>
          </cell>
          <cell r="C501" t="str">
            <v>UN</v>
          </cell>
          <cell r="D501">
            <v>20.065999999999999</v>
          </cell>
        </row>
        <row r="502">
          <cell r="A502" t="str">
            <v>001.14.00780</v>
          </cell>
          <cell r="B502" t="str">
            <v>Fornecimento e Instalação de Tampão de cimento amianto para cobertura c/canalete 49</v>
          </cell>
          <cell r="C502" t="str">
            <v>M2</v>
          </cell>
          <cell r="D502">
            <v>35.763800000000003</v>
          </cell>
        </row>
        <row r="503">
          <cell r="A503" t="str">
            <v>001.14.00800</v>
          </cell>
          <cell r="B503" t="str">
            <v>Fornecimento e Instalação de Tampão de cimento amianto para cobertura c/canalete 90</v>
          </cell>
          <cell r="C503" t="str">
            <v>M2</v>
          </cell>
          <cell r="D503">
            <v>51.273800000000001</v>
          </cell>
        </row>
        <row r="504">
          <cell r="A504" t="str">
            <v>001.14.00820</v>
          </cell>
          <cell r="B504" t="str">
            <v>Fornecimento e Instalação de calha ou rufo na chapa n.26 com desenvolvimento de 25.00 cm</v>
          </cell>
          <cell r="C504" t="str">
            <v>ML</v>
          </cell>
          <cell r="D504">
            <v>12.5</v>
          </cell>
        </row>
        <row r="505">
          <cell r="A505" t="str">
            <v>001.14.00840</v>
          </cell>
          <cell r="B505" t="str">
            <v>Fornecimento e Instalação de calha ou rufo na chapa n.26 com desenvolvimento de 40.00 cm</v>
          </cell>
          <cell r="C505" t="str">
            <v>ML</v>
          </cell>
          <cell r="D505">
            <v>20</v>
          </cell>
        </row>
        <row r="506">
          <cell r="A506" t="str">
            <v>001.14.00860</v>
          </cell>
          <cell r="B506" t="str">
            <v>Fornecimento e Instalação de calha ou rufo na chapa n.24 com desenvolvimento de 25.00 cm</v>
          </cell>
          <cell r="C506" t="str">
            <v>ML</v>
          </cell>
          <cell r="D506">
            <v>13.75</v>
          </cell>
        </row>
        <row r="507">
          <cell r="A507" t="str">
            <v>001.14.00880</v>
          </cell>
          <cell r="B507" t="str">
            <v>Fornecimento e Instalação de calha ou rufo na chapa n.24 com desenvolvimento de 30.00 cm</v>
          </cell>
          <cell r="C507" t="str">
            <v>ML</v>
          </cell>
          <cell r="D507">
            <v>16.5</v>
          </cell>
        </row>
        <row r="508">
          <cell r="A508" t="str">
            <v>001.14.00900</v>
          </cell>
          <cell r="B508" t="str">
            <v>Fornecimento e Instalação de calha ou rufo na chapa n.24 com desenvolvimento de 50.00 cm</v>
          </cell>
          <cell r="C508" t="str">
            <v>ML</v>
          </cell>
          <cell r="D508">
            <v>27.5</v>
          </cell>
        </row>
        <row r="509">
          <cell r="A509" t="str">
            <v>001.14.00920</v>
          </cell>
          <cell r="B509" t="str">
            <v>Fornecimento e Instalação de calha ou rufo na chapa n.24 com desenvolvimento de 120.00 cm</v>
          </cell>
          <cell r="C509" t="str">
            <v>ML</v>
          </cell>
          <cell r="D509">
            <v>66</v>
          </cell>
        </row>
        <row r="510">
          <cell r="A510" t="str">
            <v>001.14.00940</v>
          </cell>
          <cell r="B510" t="str">
            <v>Fornecimento e Instalação de condutor na chapa n.26</v>
          </cell>
          <cell r="C510" t="str">
            <v>ML</v>
          </cell>
          <cell r="D510">
            <v>20</v>
          </cell>
        </row>
        <row r="511">
          <cell r="A511" t="str">
            <v>001.14.00960</v>
          </cell>
          <cell r="B511" t="str">
            <v>Fornecimento e Instalação de condutor na chapa n.24</v>
          </cell>
          <cell r="C511" t="str">
            <v>ML</v>
          </cell>
          <cell r="D511">
            <v>22</v>
          </cell>
        </row>
        <row r="512">
          <cell r="A512" t="str">
            <v>001.14.00980</v>
          </cell>
          <cell r="B512" t="str">
            <v>Fornecimento e Instalação de Tubo de pvc para águas pluviais inclusive braçadeira para fixação 100 mm</v>
          </cell>
          <cell r="C512" t="str">
            <v>ML</v>
          </cell>
          <cell r="D512">
            <v>13.4808</v>
          </cell>
        </row>
        <row r="513">
          <cell r="A513" t="str">
            <v>001.14.01000</v>
          </cell>
          <cell r="B513" t="str">
            <v>Fornecimento e Instalação de Curva de pvc 90º diâm.100 mm</v>
          </cell>
          <cell r="C513" t="str">
            <v>UN</v>
          </cell>
          <cell r="D513">
            <v>15.483499999999999</v>
          </cell>
        </row>
        <row r="514">
          <cell r="A514" t="str">
            <v>001.14.01020</v>
          </cell>
          <cell r="B514" t="str">
            <v>Fornecimento e Instalação de Ralo seco vertical em ferro fundido diâm.100 mm</v>
          </cell>
          <cell r="C514" t="str">
            <v>UN</v>
          </cell>
          <cell r="D514">
            <v>12.547700000000001</v>
          </cell>
        </row>
        <row r="515">
          <cell r="A515" t="str">
            <v>001.14.01040</v>
          </cell>
          <cell r="B515" t="str">
            <v>Fornecimento e instalação de Acabamento de beiral com tabua trabalhada, tratada e envernizada 1"""""""""""""""" x 10""""""""""""""""</v>
          </cell>
          <cell r="C515" t="str">
            <v>ML</v>
          </cell>
          <cell r="D515">
            <v>115.5215</v>
          </cell>
        </row>
        <row r="516">
          <cell r="A516" t="str">
            <v>001.14.01060</v>
          </cell>
          <cell r="B516" t="str">
            <v>Execução de Reparo de cobertura -  emboçamento da última fiada de telhas cerâmicas, empregando argamassa mista de cimento, cal e areia no traço 1:2:8</v>
          </cell>
          <cell r="C516" t="str">
            <v>ML</v>
          </cell>
          <cell r="D516">
            <v>3.5062000000000002</v>
          </cell>
        </row>
        <row r="517">
          <cell r="A517" t="str">
            <v>001.14.01080</v>
          </cell>
          <cell r="B517" t="str">
            <v>Execução de Reparo de cobertura -  revisão de cobertura de telhas cerâmicas com tomada de  goteiras</v>
          </cell>
          <cell r="C517" t="str">
            <v>M2</v>
          </cell>
          <cell r="D517">
            <v>0.46410000000000001</v>
          </cell>
        </row>
        <row r="518">
          <cell r="A518" t="str">
            <v>001.14.01100</v>
          </cell>
          <cell r="B518" t="str">
            <v>Execução de Reparo de cobertura - substituição de ripa de peróba</v>
          </cell>
          <cell r="C518" t="str">
            <v>M2</v>
          </cell>
          <cell r="D518">
            <v>2.6173999999999999</v>
          </cell>
        </row>
        <row r="519">
          <cell r="A519" t="str">
            <v>001.14.01120</v>
          </cell>
          <cell r="B519" t="str">
            <v>Execução de Reparo de cobertura - substituição de caibros de peróba</v>
          </cell>
          <cell r="C519" t="str">
            <v>ML</v>
          </cell>
          <cell r="D519">
            <v>3.3081</v>
          </cell>
        </row>
        <row r="520">
          <cell r="A520" t="str">
            <v>001.14.01140</v>
          </cell>
          <cell r="B520" t="str">
            <v>Execução de Reparo de cobertura - substituição de vigas de peróba 6x12 cm</v>
          </cell>
          <cell r="C520" t="str">
            <v>ML</v>
          </cell>
          <cell r="D520">
            <v>9.8511000000000006</v>
          </cell>
        </row>
        <row r="521">
          <cell r="A521" t="str">
            <v>001.14.01160</v>
          </cell>
          <cell r="B521" t="str">
            <v>Execução de Reparo de cobertura - substituição de vigas de peróba 6x16 cm</v>
          </cell>
          <cell r="C521" t="str">
            <v>ML</v>
          </cell>
          <cell r="D521">
            <v>10.3553</v>
          </cell>
        </row>
        <row r="522">
          <cell r="A522" t="str">
            <v>001.14.01180</v>
          </cell>
          <cell r="B522" t="str">
            <v>Execução de Reparo de cobertura - substituição de telha cerâmica tipo francesa</v>
          </cell>
          <cell r="C522" t="str">
            <v>UN</v>
          </cell>
          <cell r="D522">
            <v>0.97119999999999995</v>
          </cell>
        </row>
        <row r="523">
          <cell r="A523" t="str">
            <v>001.14.01200</v>
          </cell>
          <cell r="B523" t="str">
            <v>Execução de Reparo de cobertura - substituição de telha cerâmica tipo colonial</v>
          </cell>
          <cell r="C523" t="str">
            <v>UN</v>
          </cell>
          <cell r="D523">
            <v>0.9012</v>
          </cell>
        </row>
        <row r="524">
          <cell r="A524" t="str">
            <v>001.14.01220</v>
          </cell>
          <cell r="B524" t="str">
            <v>Execução de Reparo de cobertura - substituição de telha cerâmica tipo plan</v>
          </cell>
          <cell r="C524" t="str">
            <v>UN</v>
          </cell>
          <cell r="D524">
            <v>0.7712</v>
          </cell>
        </row>
        <row r="525">
          <cell r="A525" t="str">
            <v>001.15</v>
          </cell>
          <cell r="B525" t="str">
            <v>ESQUADRIAS</v>
          </cell>
        </row>
        <row r="526">
          <cell r="A526" t="str">
            <v>001.15.00020</v>
          </cell>
          <cell r="B526" t="str">
            <v>Fornecimento e Instalação de Porta metálica de abrir em chapa dobrada n 18</v>
          </cell>
          <cell r="C526" t="str">
            <v>M2</v>
          </cell>
          <cell r="D526">
            <v>248.4102</v>
          </cell>
        </row>
        <row r="527">
          <cell r="A527" t="str">
            <v>001.15.00040</v>
          </cell>
          <cell r="B527" t="str">
            <v>Fornecimento e Instalação de Porta metálica de abrir em metalón</v>
          </cell>
          <cell r="C527" t="str">
            <v>M2</v>
          </cell>
          <cell r="D527">
            <v>148.56020000000001</v>
          </cell>
        </row>
        <row r="528">
          <cell r="A528" t="str">
            <v>001.15.00060</v>
          </cell>
          <cell r="B528" t="str">
            <v>Fornecimento e Instalação de Porta metálica de abrir em perfil metálico (cantoneiras e tees)</v>
          </cell>
          <cell r="C528" t="str">
            <v>M2</v>
          </cell>
          <cell r="D528">
            <v>161.56020000000001</v>
          </cell>
        </row>
        <row r="529">
          <cell r="A529" t="str">
            <v>001.15.00080</v>
          </cell>
          <cell r="B529" t="str">
            <v>Fornecimento e Instalação de Porta metálica de correr em chapa dobrada n 18</v>
          </cell>
          <cell r="C529" t="str">
            <v>M2</v>
          </cell>
          <cell r="D529">
            <v>161.56020000000001</v>
          </cell>
        </row>
        <row r="530">
          <cell r="A530" t="str">
            <v>001.15.00100</v>
          </cell>
          <cell r="B530" t="str">
            <v>Fornecimento e instalação de Porta metálica de correr em metalón</v>
          </cell>
          <cell r="C530" t="str">
            <v>M2</v>
          </cell>
          <cell r="D530">
            <v>183.56020000000001</v>
          </cell>
        </row>
        <row r="531">
          <cell r="A531" t="str">
            <v>001.15.00120</v>
          </cell>
          <cell r="B531" t="str">
            <v>Fornecimento e Instalação de Porta metálica de correr em perfil metálico (cantoneiras e tees)</v>
          </cell>
          <cell r="C531" t="str">
            <v>M2</v>
          </cell>
          <cell r="D531">
            <v>168.56020000000001</v>
          </cell>
        </row>
        <row r="532">
          <cell r="A532" t="str">
            <v>001.15.00140</v>
          </cell>
          <cell r="B532" t="str">
            <v>Fornecimento e Instalaçao de Porta metálica de de abrir em metalón com janela acoplada</v>
          </cell>
          <cell r="C532" t="str">
            <v>M2</v>
          </cell>
          <cell r="D532">
            <v>101.06019999999999</v>
          </cell>
        </row>
        <row r="533">
          <cell r="A533" t="str">
            <v>001.15.00160</v>
          </cell>
          <cell r="B533" t="str">
            <v>Fornecimento e Instalação de Porta metálica de ( 2,00 x 2,60 ) m - 2 fls de abrir c/ vidro</v>
          </cell>
          <cell r="C533" t="str">
            <v>UN</v>
          </cell>
          <cell r="D533">
            <v>769.40099999999995</v>
          </cell>
        </row>
        <row r="534">
          <cell r="A534" t="str">
            <v>001.15.00180</v>
          </cell>
          <cell r="B534" t="str">
            <v>Porta metálica de enrolar em chapa de aço ondulada</v>
          </cell>
          <cell r="C534" t="str">
            <v>M2</v>
          </cell>
          <cell r="D534">
            <v>88.070499999999996</v>
          </cell>
        </row>
        <row r="535">
          <cell r="A535" t="str">
            <v>001.15.00200</v>
          </cell>
          <cell r="B535" t="str">
            <v>Janela metálica basculante em chapa dobrada n 18</v>
          </cell>
          <cell r="C535" t="str">
            <v>M2</v>
          </cell>
          <cell r="D535">
            <v>229.2801</v>
          </cell>
        </row>
        <row r="536">
          <cell r="A536" t="str">
            <v>001.15.00220</v>
          </cell>
          <cell r="B536" t="str">
            <v>Janela metálica basculante em metalón</v>
          </cell>
          <cell r="C536" t="str">
            <v>M2</v>
          </cell>
          <cell r="D536">
            <v>166.2201</v>
          </cell>
        </row>
        <row r="537">
          <cell r="A537" t="str">
            <v>001.15.00240</v>
          </cell>
          <cell r="B537" t="str">
            <v>Janela metálica basculante em perfil metálico (cantoneiras e tees)</v>
          </cell>
          <cell r="C537" t="str">
            <v>M2</v>
          </cell>
          <cell r="D537">
            <v>166.2201</v>
          </cell>
        </row>
        <row r="538">
          <cell r="A538" t="str">
            <v>001.15.00260</v>
          </cell>
          <cell r="B538" t="str">
            <v>Janela metálica de correr em chapa de aço  dobrada n 18</v>
          </cell>
          <cell r="C538" t="str">
            <v>M2</v>
          </cell>
          <cell r="D538">
            <v>194.2801</v>
          </cell>
        </row>
        <row r="539">
          <cell r="A539" t="str">
            <v>001.15.00280</v>
          </cell>
          <cell r="B539" t="str">
            <v>Janela metálica de correr em metalón</v>
          </cell>
          <cell r="C539" t="str">
            <v>M2</v>
          </cell>
          <cell r="D539">
            <v>157.0641</v>
          </cell>
        </row>
        <row r="540">
          <cell r="A540" t="str">
            <v>001.15.00300</v>
          </cell>
          <cell r="B540" t="str">
            <v>Janela metálica de correr em perfis metálicos (cantoneiras e tees)</v>
          </cell>
          <cell r="C540" t="str">
            <v>M2</v>
          </cell>
          <cell r="D540">
            <v>164.2801</v>
          </cell>
        </row>
        <row r="541">
          <cell r="A541" t="str">
            <v>001.15.00320</v>
          </cell>
          <cell r="B541" t="str">
            <v>Janela metálica maximar em chapa dobrada n 18</v>
          </cell>
          <cell r="C541" t="str">
            <v>M2</v>
          </cell>
          <cell r="D541">
            <v>172.0641</v>
          </cell>
        </row>
        <row r="542">
          <cell r="A542" t="str">
            <v>001.15.00340</v>
          </cell>
          <cell r="B542" t="str">
            <v>Janela metálica maximar em metalón</v>
          </cell>
          <cell r="C542" t="str">
            <v>M2</v>
          </cell>
          <cell r="D542">
            <v>172.0641</v>
          </cell>
        </row>
        <row r="543">
          <cell r="A543" t="str">
            <v>001.15.00360</v>
          </cell>
          <cell r="B543" t="str">
            <v>Janela metálica maximar em perfis metálicos (cantoneiras e tees)</v>
          </cell>
          <cell r="C543" t="str">
            <v>M2</v>
          </cell>
          <cell r="D543">
            <v>181.0641</v>
          </cell>
        </row>
        <row r="544">
          <cell r="A544" t="str">
            <v>001.15.00380</v>
          </cell>
          <cell r="B544" t="str">
            <v>Janela metálica veneziana em metalon</v>
          </cell>
          <cell r="C544" t="str">
            <v>M2</v>
          </cell>
          <cell r="D544">
            <v>142.0641</v>
          </cell>
        </row>
        <row r="545">
          <cell r="A545" t="str">
            <v>001.15.00400</v>
          </cell>
          <cell r="B545" t="str">
            <v>Janela metálica fixa para vidro em chapa dobrada</v>
          </cell>
          <cell r="C545" t="str">
            <v>M2</v>
          </cell>
          <cell r="D545">
            <v>197.0641</v>
          </cell>
        </row>
        <row r="546">
          <cell r="A546" t="str">
            <v>001.15.00420</v>
          </cell>
          <cell r="B546" t="str">
            <v>Janela metálica tipo grade de ferro de 1/2 pol. espaçados a cada 15 cm incl. tela de arame sobreposta, j3-120x50 cm</v>
          </cell>
          <cell r="C546" t="str">
            <v>UN</v>
          </cell>
          <cell r="D546">
            <v>254.06110000000001</v>
          </cell>
        </row>
        <row r="547">
          <cell r="A547" t="str">
            <v>001.15.00440</v>
          </cell>
          <cell r="B547" t="str">
            <v>Janela metálica de chapa dobrada n.18 tipo grade fixa inclusive ferragens e tela mosquiteiro</v>
          </cell>
          <cell r="C547" t="str">
            <v>M2</v>
          </cell>
          <cell r="D547">
            <v>141.7801</v>
          </cell>
        </row>
        <row r="548">
          <cell r="A548" t="str">
            <v>001.15.00460</v>
          </cell>
          <cell r="B548" t="str">
            <v>Janela metálica de correr em metalón com tela</v>
          </cell>
          <cell r="C548" t="str">
            <v>M2</v>
          </cell>
          <cell r="D548">
            <v>158.92019999999999</v>
          </cell>
        </row>
        <row r="549">
          <cell r="A549" t="str">
            <v>001.15.00480</v>
          </cell>
          <cell r="B549" t="str">
            <v>Portão metálico tipo grade em ferro de 1/2 pol espaçados a cada 15 cm conf. modelo, p5-90x210 cm</v>
          </cell>
          <cell r="C549" t="str">
            <v>UN</v>
          </cell>
          <cell r="D549">
            <v>327.86009999999999</v>
          </cell>
        </row>
        <row r="550">
          <cell r="A550" t="str">
            <v>001.15.00500</v>
          </cell>
          <cell r="B550" t="str">
            <v>Portão de Correr em Chapa Corrugada N.18, Conf. Det. SINFRA N.06</v>
          </cell>
          <cell r="C550" t="str">
            <v>M2</v>
          </cell>
          <cell r="D550">
            <v>210.76259999999999</v>
          </cell>
        </row>
        <row r="551">
          <cell r="A551" t="str">
            <v>001.15.00520</v>
          </cell>
          <cell r="B551" t="str">
            <v>Gradil  de ferro metalón 20x20 mm</v>
          </cell>
          <cell r="C551" t="str">
            <v>M2</v>
          </cell>
          <cell r="D551">
            <v>78.575999999999993</v>
          </cell>
        </row>
        <row r="552">
          <cell r="A552" t="str">
            <v>001.15.00540</v>
          </cell>
          <cell r="B552" t="str">
            <v>Fornecimento e Instalação de Gradil em Módulos Fixos, conf. det. SINFRA/ FEMA - Entrada do Parque Mãe Bonifácia</v>
          </cell>
          <cell r="C552" t="str">
            <v>ML</v>
          </cell>
          <cell r="D552">
            <v>234.26140000000001</v>
          </cell>
        </row>
        <row r="553">
          <cell r="A553" t="str">
            <v>001.15.00560</v>
          </cell>
          <cell r="B553" t="str">
            <v>Portão de ferro metalon  30x20mm</v>
          </cell>
          <cell r="C553" t="str">
            <v>M2</v>
          </cell>
          <cell r="D553">
            <v>54.730200000000004</v>
          </cell>
        </row>
        <row r="554">
          <cell r="A554" t="str">
            <v>001.15.00580</v>
          </cell>
          <cell r="B554" t="str">
            <v>Grades de proteção - chapa 2 x 1 cm</v>
          </cell>
          <cell r="C554" t="str">
            <v>M2</v>
          </cell>
          <cell r="D554">
            <v>69.780100000000004</v>
          </cell>
        </row>
        <row r="555">
          <cell r="A555" t="str">
            <v>001.15.00600</v>
          </cell>
          <cell r="B555" t="str">
            <v>Portão metálico em chapa dobrada com fechamento em chapa lisa, inclusive ferragens</v>
          </cell>
          <cell r="C555" t="str">
            <v>M2</v>
          </cell>
          <cell r="D555">
            <v>88.480099999999993</v>
          </cell>
        </row>
        <row r="556">
          <cell r="A556" t="str">
            <v>001.15.00620</v>
          </cell>
          <cell r="B556" t="str">
            <v>Corrimão metálico de ferro ( 3 x 2 cm ) h=0,80m</v>
          </cell>
          <cell r="C556" t="str">
            <v>ML</v>
          </cell>
          <cell r="D556">
            <v>59.280099999999997</v>
          </cell>
        </row>
        <row r="557">
          <cell r="A557" t="str">
            <v>001.15.00640</v>
          </cell>
          <cell r="B557" t="str">
            <v>Portão metálico em chapa lisa vincada c/ requadro em perfil de ferro simples, inclusive ferragens e fechadura</v>
          </cell>
          <cell r="C557" t="str">
            <v>M2</v>
          </cell>
          <cell r="D557">
            <v>103.92019999999999</v>
          </cell>
        </row>
        <row r="558">
          <cell r="A558" t="str">
            <v>001.15.00660</v>
          </cell>
          <cell r="B558" t="str">
            <v>Fornecimento e Instalação de Porta De Ferro Tipo Veneziana - 0,80 x 2,10 x 0,12 m - Padrão Popular</v>
          </cell>
          <cell r="C558" t="str">
            <v>UN</v>
          </cell>
          <cell r="D558">
            <v>141.67019999999999</v>
          </cell>
        </row>
        <row r="559">
          <cell r="A559" t="str">
            <v>001.15.00680</v>
          </cell>
          <cell r="B559" t="str">
            <v>Fornecimento e Instalação de Porta De Ferro Tipo Veneziana - 0,70 x 2,10 x 0,12 m - Padrão Popular</v>
          </cell>
          <cell r="C559" t="str">
            <v>UN</v>
          </cell>
          <cell r="D559">
            <v>141.67019999999999</v>
          </cell>
        </row>
        <row r="560">
          <cell r="A560" t="str">
            <v>001.15.00700</v>
          </cell>
          <cell r="B560" t="str">
            <v>Fornecimento e Instalação de Porta De Ferro Tipo Veneziana - 0,60 x 2,10 x 0,12 m - Padrão Popular</v>
          </cell>
          <cell r="C560" t="str">
            <v>UN</v>
          </cell>
          <cell r="D560">
            <v>141.67019999999999</v>
          </cell>
        </row>
        <row r="561">
          <cell r="A561" t="str">
            <v>001.15.00720</v>
          </cell>
          <cell r="B561" t="str">
            <v>Fornecimento e Instalação de Janela Tipo Vitro Basculante sem Grade  0.40 x 0.60 cm, batente e = 13 cm chapa 22 - Padrão Popular</v>
          </cell>
          <cell r="C561" t="str">
            <v>UN</v>
          </cell>
          <cell r="D561">
            <v>69.260099999999994</v>
          </cell>
        </row>
        <row r="562">
          <cell r="A562" t="str">
            <v>001.15.00740</v>
          </cell>
          <cell r="B562" t="str">
            <v>Fornecimento e Instalação de Janela Tipo Vitro Basculante sem Grade  0.60 x 0.60 cm, batente e = 13 cm chapa 22 - Padrão Popular</v>
          </cell>
          <cell r="C562" t="str">
            <v>UN</v>
          </cell>
          <cell r="D562">
            <v>75.920100000000005</v>
          </cell>
        </row>
        <row r="563">
          <cell r="A563" t="str">
            <v>001.15.00760</v>
          </cell>
          <cell r="B563" t="str">
            <v>Fornecimento e Instalação de Janela Tipo Vitro Maxim-ar 1.00 x 0.60 m c/ Grade Xadrez, Batente E = 12 cm, Chapa 22  - Padrão Comercial</v>
          </cell>
          <cell r="C563" t="str">
            <v>UN</v>
          </cell>
          <cell r="D563">
            <v>139.12909999999999</v>
          </cell>
        </row>
        <row r="564">
          <cell r="A564" t="str">
            <v>001.15.00780</v>
          </cell>
          <cell r="B564" t="str">
            <v>Fornecimento e Instalação de Janela Tipo Veneziana de Correr, Sem Vitrô, Com Grade Dim.1.00 x 1.20 x 0.13 - Padrão Popular</v>
          </cell>
          <cell r="C564" t="str">
            <v>UN</v>
          </cell>
          <cell r="D564">
            <v>144.72020000000001</v>
          </cell>
        </row>
        <row r="565">
          <cell r="A565" t="str">
            <v>001.15.00800</v>
          </cell>
          <cell r="B565" t="str">
            <v>Fornecimento e Instalação de Janela Tipo Veneziana de Correr, Sem Vitrô, Com Grade Dim.1.00 x 1.50 x 0.13 - Padrão Popular</v>
          </cell>
          <cell r="C565" t="str">
            <v>UN</v>
          </cell>
          <cell r="D565">
            <v>159.18020000000001</v>
          </cell>
        </row>
        <row r="566">
          <cell r="A566" t="str">
            <v>001.15.00820</v>
          </cell>
          <cell r="B566" t="str">
            <v>Fornecimento e Instalação de Janela Tipo Vitro de Correr com Caixilho Fixo 1.20 x 1.00 m s/ Grade, Batente E = 12 cm, Chapa 22 4 Folhas - Padrão Comercial</v>
          </cell>
          <cell r="C566" t="str">
            <v>UN</v>
          </cell>
          <cell r="D566">
            <v>131.2902</v>
          </cell>
        </row>
        <row r="567">
          <cell r="A567" t="str">
            <v>001.15.00840</v>
          </cell>
          <cell r="B567" t="str">
            <v>Fornecimento e Instalação de Janela Tipo Vitro de Correr com Caixilho Fixo 1.50 x 1.00 m c/ Grade, Batente E = 12 cm, Chapa 22 4 Folhas - Padrão Comercial</v>
          </cell>
          <cell r="C567" t="str">
            <v>UN</v>
          </cell>
          <cell r="D567">
            <v>148.1191</v>
          </cell>
        </row>
        <row r="568">
          <cell r="A568" t="str">
            <v>001.15.00860</v>
          </cell>
          <cell r="B568" t="str">
            <v>Fornecimento e Instalação de Janela Tipo Vitro de Correr com Caixilho Fixo 2.00 x 1.00 m s/ Grade, Batente e= 12 cm Chapa 22, 4 Folhas - Padrão Comercial</v>
          </cell>
          <cell r="C568" t="str">
            <v>UN</v>
          </cell>
          <cell r="D568">
            <v>224.66909999999999</v>
          </cell>
        </row>
        <row r="569">
          <cell r="A569" t="str">
            <v>001.15.00880</v>
          </cell>
          <cell r="B569" t="str">
            <v>Fornecimento e Instalação de Janela Tipo Vitro de Correr com Caixilho Fixo 1.50 x 1.20 m c/ Grade, Batente E = 12 cm, Chapa 22 4 Folhas - Padrão Comercial</v>
          </cell>
          <cell r="C569" t="str">
            <v>UN</v>
          </cell>
          <cell r="D569">
            <v>222.22909999999999</v>
          </cell>
        </row>
        <row r="570">
          <cell r="A570" t="str">
            <v>001.15.00900</v>
          </cell>
          <cell r="B570" t="str">
            <v>Fornecimento e Instalação de Porta Padrão Popular (sem defeitos), Tipo Solidor, Dimensão 60 x 210 cm, incl. Portal de Cedrinho Fixado Com Espuma de Poliuretano, Alisar de Cedrinho, Dobradiça de Ferro Zincado 31/2"""""""""""""""" x 21/2"""""""""""""""",</v>
          </cell>
          <cell r="C570" t="str">
            <v>CJ</v>
          </cell>
          <cell r="D570">
            <v>112.15219999999999</v>
          </cell>
        </row>
        <row r="571">
          <cell r="A571" t="str">
            <v>001.15.00920</v>
          </cell>
          <cell r="B571" t="str">
            <v>Fornecimento e Instalação de Porta Padrão Popular (sem defeitos), Tipo Solidor, Dimensão 70 x 210 cm, incl. Portal de Cedrinho Fixado Com Espuma de Poliuretano, Alisar de Cedrinho, Dobradiça de Ferro Zincado 31/2"""""""""""""""" x 21/2"""""""""""""""",</v>
          </cell>
          <cell r="C571" t="str">
            <v>CJ</v>
          </cell>
          <cell r="D571">
            <v>112.15219999999999</v>
          </cell>
        </row>
        <row r="572">
          <cell r="A572" t="str">
            <v>001.15.00940</v>
          </cell>
          <cell r="B572" t="str">
            <v>Fornecimento e Instalação de Porta Padrão Popular (sem defeitos), Tipo Solidor, Dimensão 80 x 210 cm, incl. Portal de Cedrinho Fixado Com Espuma de Poliuretano, Alisar de Cedrinho, Dobradiça de Ferro Zincado 31/2"""""""""""""""" x 21/2"""""""""""""""",</v>
          </cell>
          <cell r="C572" t="str">
            <v>CJ</v>
          </cell>
          <cell r="D572">
            <v>112.15219999999999</v>
          </cell>
        </row>
        <row r="573">
          <cell r="A573" t="str">
            <v>001.15.00960</v>
          </cell>
          <cell r="B573" t="str">
            <v>Fornecimento e Instalação de Porta Tipo Solidor, Angelim, Prensada, Semi Oca, Laminada Para Pintura, Dim. 60 x 180 cm, incl. Portal de Angelim e=3.50cm, Fixado C/ Espuma de Poliuretano, Alisar de Angelim l=6.00cm, Dobradiça de Ferro Niquel. 31/2""""""""</v>
          </cell>
          <cell r="C573" t="str">
            <v>CJ</v>
          </cell>
          <cell r="D573">
            <v>206.03219999999999</v>
          </cell>
        </row>
        <row r="574">
          <cell r="A574" t="str">
            <v>001.15.00980</v>
          </cell>
          <cell r="B574" t="str">
            <v>Fornecimento e Instalação de Porta Tipo Solidor, Angelim, Prensada, Semi Oca, Laminada Para Pintura, Dim. 70 x 180 cm, incl. Portal de Angelim e=3.50cm, Fixado C/ Espuma de Poliuretano, Alisar de Angelim l=6.00cm, Dobradiça de Ferro Niquel. 31/2""""""""</v>
          </cell>
          <cell r="C574" t="str">
            <v>CJ</v>
          </cell>
          <cell r="D574">
            <v>206.03219999999999</v>
          </cell>
        </row>
        <row r="575">
          <cell r="A575" t="str">
            <v>001.15.01000</v>
          </cell>
          <cell r="B575" t="str">
            <v>Fornecimento e Instalação de Porta Tipo Solidor, Angelim, Prensada, Semi Oca, Laminada Para Pintura, Dim.80 x 180 cm, incl. Portal de Angelim e=3.50cm, Fixado C/ Espuma de Poliuretano, Alisar de Angelim l=6.00cm, Dobradiça de Ferro Niquel. 31/2"""""""""</v>
          </cell>
          <cell r="C575" t="str">
            <v>CJ</v>
          </cell>
          <cell r="D575">
            <v>206.03219999999999</v>
          </cell>
        </row>
        <row r="576">
          <cell r="A576" t="str">
            <v>001.15.01020</v>
          </cell>
          <cell r="B576" t="str">
            <v>Fornecimento e Instalação de Porta Tipo Solidor, Angelim, Prensada, Semi Oca, Laminada Para Pintura, Dim. 60 x 210 cm, incl. Portal de Angelim e=3.50cm, Fixado C/ Espuma de Poliuretano, Alisar de Angelim l=6.00cm, Dobradiça de Ferro Niquel. 31/2""""""""</v>
          </cell>
          <cell r="C576" t="str">
            <v>CJ</v>
          </cell>
          <cell r="D576">
            <v>206.03219999999999</v>
          </cell>
        </row>
        <row r="577">
          <cell r="A577" t="str">
            <v>001.15.01040</v>
          </cell>
          <cell r="B577" t="str">
            <v>Fornecimento e Instalação de Porta Tipo Solidor, Angelim, Prensada, Semi Oca, Laminada Para Pintura, Dim. 70 x 210 cm, incl. Portal de Angelim e=3.50cm, Fixado C/ Espuma de Poliuretano, Alisar de Angelim l=6.00cm, Dobradiça de Ferro Niquel. 31/2""""""""</v>
          </cell>
          <cell r="C577" t="str">
            <v>CJ</v>
          </cell>
          <cell r="D577">
            <v>206.03219999999999</v>
          </cell>
        </row>
        <row r="578">
          <cell r="A578" t="str">
            <v>001.15.01060</v>
          </cell>
          <cell r="B578" t="str">
            <v>Fornecimento e Instalação de Porta Tipo Solidor, Angelim, Prensada, Semi Oca, Laminada Para Pintura, Dim.80 x 210 cm, incl. Portal de Angelim e=3.50cm, Fixado C/ Espuma de Poliuretano, Alisar de Angelim l=6.00cm, Dobradiça de Ferro Niquel. 31/2"""""""""</v>
          </cell>
          <cell r="C578" t="str">
            <v>CJ</v>
          </cell>
          <cell r="D578">
            <v>206.03219999999999</v>
          </cell>
        </row>
        <row r="579">
          <cell r="A579" t="str">
            <v>001.15.01080</v>
          </cell>
          <cell r="B579" t="str">
            <v>Fornecimento e Instalação de Porta Tipo Solidor, Angelim, Prensada, Semi Oca, Laminada Para Pintura, Dim. 90 x 210 cm, incl. Portal de Angelim e=3.50cm, Fixado C/ Espuma de Poliuretano, Alisar de Angelim l=6.00cm, Dobradiça de Ferro Niquel. 31/2""""""""</v>
          </cell>
          <cell r="C579" t="str">
            <v>CJ</v>
          </cell>
          <cell r="D579">
            <v>206.03219999999999</v>
          </cell>
        </row>
        <row r="580">
          <cell r="A580" t="str">
            <v>001.15.01100</v>
          </cell>
          <cell r="B580" t="str">
            <v>Fornecimento e Instalação de Porta Tipo Solidor, Angelim, Prensada, Encabeçada,Semi Oca, Laminada Para Envernizamento, Dim. 60 x 210 cm, incl. Portal de Angelim e=3.50cm, Fixado C/ Espuma de Poliuretano, Alisar de Angelim l=6.00cm, Dobradiça 31/2"""""""</v>
          </cell>
          <cell r="C580" t="str">
            <v>CJ</v>
          </cell>
          <cell r="D580">
            <v>231.0522</v>
          </cell>
        </row>
        <row r="581">
          <cell r="A581" t="str">
            <v>001.15.01120</v>
          </cell>
          <cell r="B581" t="str">
            <v>Fornecimento e Instalação de Porta Tipo Solidor, Angelim, Prensada, Encabeçada,Semi Oca, Laminada Para Envernizamento, Dim. 70 x 210 cm, incl. Portal de Angelim e=3.50cm, Fixado C/ Espuma de Poliuretano, Alisar de Angelim l=6.00cm, Dobradiça 31/2"""""""</v>
          </cell>
          <cell r="C581" t="str">
            <v>CJ</v>
          </cell>
          <cell r="D581">
            <v>231.0522</v>
          </cell>
        </row>
        <row r="582">
          <cell r="A582" t="str">
            <v>001.15.01140</v>
          </cell>
          <cell r="B582" t="str">
            <v>Fornecimento e Instalação de Porta Tipo Solidor, Angelim, Prensada, Encabeçada,Semi Oca, Laminada Para Envernizamento, Dim. 80 x 210 cm, incl. Portal de Angelim e=3.50cm, Fixado C/ Espuma de Poliuretano, Alisar de Angelim l=6.00cm, Dobradiça 31/2"""""""</v>
          </cell>
          <cell r="C582" t="str">
            <v>CJ</v>
          </cell>
          <cell r="D582">
            <v>231.0522</v>
          </cell>
        </row>
        <row r="583">
          <cell r="A583" t="str">
            <v>001.15.01160</v>
          </cell>
          <cell r="B583" t="str">
            <v>Fornecimento e Instalação de Porta Tipo Solidor, Angelim, Prensada, Encabeçada,Semi Oca, Laminada Para Envernizamento, Dim. 90 x 210 cm, incl. Portal de Angelim e=3.50cm, Fixado C/ Espuma de Poliuretano, Alisar de Angelim l=6.00cm, Dobradiça 31/2"""""""</v>
          </cell>
          <cell r="C583" t="str">
            <v>CJ</v>
          </cell>
          <cell r="D583">
            <v>231.0522</v>
          </cell>
        </row>
        <row r="584">
          <cell r="A584" t="str">
            <v>001.15.01180</v>
          </cell>
          <cell r="B584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31/2""""""""</v>
          </cell>
          <cell r="C584" t="str">
            <v>CJ</v>
          </cell>
          <cell r="D584">
            <v>238.13220000000001</v>
          </cell>
        </row>
        <row r="585">
          <cell r="A585" t="str">
            <v>001.15.01200</v>
          </cell>
          <cell r="B585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31/2""""""""</v>
          </cell>
          <cell r="C585" t="str">
            <v>CJ</v>
          </cell>
          <cell r="D585">
            <v>238.13220000000001</v>
          </cell>
        </row>
        <row r="586">
          <cell r="A586" t="str">
            <v>001.15.01220</v>
          </cell>
          <cell r="B586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31/2""""""""</v>
          </cell>
          <cell r="C586" t="str">
            <v>CJ</v>
          </cell>
          <cell r="D586">
            <v>226.44220000000001</v>
          </cell>
        </row>
        <row r="587">
          <cell r="A587" t="str">
            <v>001.15.01240</v>
          </cell>
          <cell r="B587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31/2""""""""</v>
          </cell>
          <cell r="C587" t="str">
            <v>CJ</v>
          </cell>
          <cell r="D587">
            <v>226.44220000000001</v>
          </cell>
        </row>
        <row r="588">
          <cell r="A588" t="str">
            <v>001.15.01260</v>
          </cell>
          <cell r="B588" t="str">
            <v>Fornecimento e Instalação de Porta Tipo Solidor, Angelim, Prensada, Semi Oca, Laminada e Formicada TX PP30 0.8 mm, Dim. 60 x 210 cm, incl. Portal de Angelim e=3.50cm, Fix. Espuma de Poliur., Alisar de Angelim l=6.00cm, Dobr. de Ferro Niquel. 31/2"""""""</v>
          </cell>
          <cell r="C588" t="str">
            <v>UN</v>
          </cell>
          <cell r="D588">
            <v>309.18029999999999</v>
          </cell>
        </row>
        <row r="589">
          <cell r="A589" t="str">
            <v>001.15.01280</v>
          </cell>
          <cell r="B589" t="str">
            <v>Fornecimento e Instalação de Porta Tipo Solidor, Angelim, Prensada, Semi Oca, Laminada e Formicada TX PP30 0.8 mm, Dim. 70 x 210 cm, incl. Portal de Angelim e=3.50cm, Fix. Espuma de Poliur., Alisar de Angelim l=6.00cm, Dobr. de Ferro Niquel. 31/2"""""""</v>
          </cell>
          <cell r="C589" t="str">
            <v>UN</v>
          </cell>
          <cell r="D589">
            <v>332.56029999999998</v>
          </cell>
        </row>
        <row r="590">
          <cell r="A590" t="str">
            <v>001.15.01300</v>
          </cell>
          <cell r="B590" t="str">
            <v>Fornecimento e Instalação de Porta Tipo Solidor, Angelim, Prensada, Semi Oca, Laminada e Formicada TX PP30 0.8 mm, Dim. 80 x 210 cm, incl. Portal de Angelim e=3.50cm, Fix. Espuma de Poliur., Alisar de Angelim l=6.00cm, Dobr. de Ferro Niquel. 31/2"""""""</v>
          </cell>
          <cell r="C590" t="str">
            <v>UN</v>
          </cell>
          <cell r="D590">
            <v>332.56029999999998</v>
          </cell>
        </row>
        <row r="591">
          <cell r="A591" t="str">
            <v>001.15.01320</v>
          </cell>
          <cell r="B591" t="str">
            <v>Fornecimento e Instalação de Porta Tipo Solidor, Angelim, Prensada, Semi Oca, Laminada e Formicada TX PP30 0.8 mm, Dim. 90 x 210 cm, incl. Portal de Angelim e=3.50cm, Fix. Espuma de Poliur., Alisar de Angelim l=6.00cm, Dobr. de Ferro Niquel. 31/2"""""""</v>
          </cell>
          <cell r="C591" t="str">
            <v>UN</v>
          </cell>
          <cell r="D591">
            <v>332.56029999999998</v>
          </cell>
        </row>
        <row r="592">
          <cell r="A592" t="str">
            <v>001.15.01340</v>
          </cell>
          <cell r="B592" t="str">
            <v>Fechadura c/ chave central, maçaneta tipo copo, conjunto completo p/portas de entrada</v>
          </cell>
          <cell r="C592" t="str">
            <v>UN</v>
          </cell>
          <cell r="D592">
            <v>23.0838</v>
          </cell>
        </row>
        <row r="593">
          <cell r="A593" t="str">
            <v>001.15.01360</v>
          </cell>
          <cell r="B593" t="str">
            <v>Fechadura c/ chave central, maçaneta tipo copo, conjunto completo p/portas de comunicacao</v>
          </cell>
          <cell r="C593" t="str">
            <v>UN</v>
          </cell>
          <cell r="D593">
            <v>18.9238</v>
          </cell>
        </row>
        <row r="594">
          <cell r="A594" t="str">
            <v>001.15.01380</v>
          </cell>
          <cell r="B594" t="str">
            <v>Fechadura c/ chave central, maçaneta tipo copo, conjunto completo p/portas de banheiro</v>
          </cell>
          <cell r="C594" t="str">
            <v>UN</v>
          </cell>
          <cell r="D594">
            <v>18.9238</v>
          </cell>
        </row>
        <row r="595">
          <cell r="A595" t="str">
            <v>001.15.01400</v>
          </cell>
          <cell r="B595" t="str">
            <v>Tela metálica tipo mosquiteiro fixado em ferro cantoneira de abas iguais de 1/2""""""""""""""""""""""""""""""""x1/8""""""""""""""""""""""""""""""""</v>
          </cell>
          <cell r="C595" t="str">
            <v>M2</v>
          </cell>
          <cell r="D595">
            <v>34.012599999999999</v>
          </cell>
        </row>
        <row r="596">
          <cell r="A596" t="str">
            <v>001.15.01420</v>
          </cell>
          <cell r="B596" t="str">
            <v>Tela metálica tipo mosquiteiro fixado em ferro cantoneira de abas iguais de 1""""""""""""""""""""""""""""""""x3/16""""""""""""""""""""""""""""""""</v>
          </cell>
          <cell r="C596" t="str">
            <v>M2</v>
          </cell>
          <cell r="D596">
            <v>60.1126</v>
          </cell>
        </row>
        <row r="597">
          <cell r="A597" t="str">
            <v>001.15.01440</v>
          </cell>
          <cell r="B597" t="str">
            <v>Fornecimento e Instalação de Chapa de Ferro Preta Lisa e= 3 mm Conf. Det. 26 A SEJUSP</v>
          </cell>
          <cell r="C597" t="str">
            <v>M2</v>
          </cell>
          <cell r="D597">
            <v>128.08510000000001</v>
          </cell>
        </row>
        <row r="598">
          <cell r="A598" t="str">
            <v>001.15.01460</v>
          </cell>
          <cell r="B598" t="str">
            <v>Fornecimento e Instalação de Chapa de Ferro Preta Lisa e= 8 mm Conf. Det. 26 C SEJUSP</v>
          </cell>
          <cell r="C598" t="str">
            <v>M2</v>
          </cell>
          <cell r="D598">
            <v>339.98250000000002</v>
          </cell>
        </row>
        <row r="599">
          <cell r="A599" t="str">
            <v>001.15.01480</v>
          </cell>
          <cell r="B599" t="str">
            <v>Fornecimento e Instalação de Porta Para Cadeia ou Presídio 0.80 x 2.10 em grade 7/8"""""""""""""""" e barra chata 1 1/2"""""""""""""""" x 5/16"""""""""""""""" Conf. Det. 05 SINFRA</v>
          </cell>
          <cell r="C599" t="str">
            <v>M2</v>
          </cell>
          <cell r="D599">
            <v>228.3981</v>
          </cell>
        </row>
        <row r="600">
          <cell r="A600" t="str">
            <v>001.15.01500</v>
          </cell>
          <cell r="B600" t="str">
            <v>Fornecimento e Instalação de Porta Metálica C/ Passa Prato Conf. Det. 05 SEJUSP</v>
          </cell>
          <cell r="C600" t="str">
            <v>M2</v>
          </cell>
          <cell r="D600">
            <v>356.3116</v>
          </cell>
        </row>
        <row r="601">
          <cell r="A601" t="str">
            <v>001.15.01520</v>
          </cell>
          <cell r="B601" t="str">
            <v>Fornecimento e Instalação de Porta Metálica S/ Passa Prato Conf. Det. 05 A SEJUSP</v>
          </cell>
          <cell r="C601" t="str">
            <v>M2</v>
          </cell>
          <cell r="D601">
            <v>278.435</v>
          </cell>
        </row>
        <row r="602">
          <cell r="A602" t="str">
            <v>001.15.01540</v>
          </cell>
          <cell r="B602" t="str">
            <v>Fornecimento e Instalação de Porta Metálica C/ Chapa Metálica Sobre Toda a Porta Conf. Det. 05 B  SEJUSP</v>
          </cell>
          <cell r="C602" t="str">
            <v>M2</v>
          </cell>
          <cell r="D602">
            <v>426.22550000000001</v>
          </cell>
        </row>
        <row r="603">
          <cell r="A603" t="str">
            <v>001.15.01560</v>
          </cell>
          <cell r="B603" t="str">
            <v>Fornecimento e Instalação de Conjunto de Grade Conf. Det. 08 SEJUSP</v>
          </cell>
          <cell r="C603" t="str">
            <v>M2</v>
          </cell>
          <cell r="D603">
            <v>130.3528</v>
          </cell>
        </row>
        <row r="604">
          <cell r="A604" t="str">
            <v>001.15.01580</v>
          </cell>
          <cell r="B604" t="str">
            <v>Fornecimento e Instalação de Grade Metálica Conf. Det. 09 A SEJUSP</v>
          </cell>
          <cell r="C604" t="str">
            <v>M2</v>
          </cell>
          <cell r="D604">
            <v>191.13390000000001</v>
          </cell>
        </row>
        <row r="605">
          <cell r="A605" t="str">
            <v>001.15.01600</v>
          </cell>
          <cell r="B605" t="str">
            <v>Fornecimento e Instalação de Porta Metálica C/ Chapa Metálica Sobre Toda a Porta Conf. Det. 23  SEJUSP</v>
          </cell>
          <cell r="C605" t="str">
            <v>M2</v>
          </cell>
          <cell r="D605">
            <v>380.79219999999998</v>
          </cell>
        </row>
        <row r="606">
          <cell r="A606" t="str">
            <v>001.15.01620</v>
          </cell>
          <cell r="B606" t="str">
            <v>Fornecimento e Instalação de Porta Metálica S/ Chapa Metálica Conf. Det. 23 A  SEJUSP</v>
          </cell>
          <cell r="C606" t="str">
            <v>M2</v>
          </cell>
          <cell r="D606">
            <v>297.1728</v>
          </cell>
        </row>
        <row r="607">
          <cell r="A607" t="str">
            <v>001.15.01640</v>
          </cell>
          <cell r="B607" t="str">
            <v>Fornecimento e Instalação de Visor Conf. Det. 30 SEJUSP</v>
          </cell>
          <cell r="C607" t="str">
            <v>UN</v>
          </cell>
          <cell r="D607">
            <v>210.96690000000001</v>
          </cell>
        </row>
        <row r="608">
          <cell r="A608" t="str">
            <v>001.15.01660</v>
          </cell>
          <cell r="B608" t="str">
            <v>Fornecimento e Instalação de Tranca Tipo Comum Conf. Det. 41 SEJUSP</v>
          </cell>
          <cell r="C608" t="str">
            <v>UN</v>
          </cell>
          <cell r="D608">
            <v>122.89190000000001</v>
          </cell>
        </row>
        <row r="609">
          <cell r="A609" t="str">
            <v>001.15.01680</v>
          </cell>
          <cell r="B609" t="str">
            <v>Fornecimento e Instalação de Grade Metálica Conf. Det. 45 B SEJUSP</v>
          </cell>
          <cell r="C609" t="str">
            <v>M2</v>
          </cell>
          <cell r="D609">
            <v>246.39519999999999</v>
          </cell>
        </row>
        <row r="610">
          <cell r="A610" t="str">
            <v>001.15.01700</v>
          </cell>
          <cell r="B610" t="str">
            <v>Batente de madeira 15 x 15 cm para porta e janela</v>
          </cell>
          <cell r="C610" t="str">
            <v>M</v>
          </cell>
          <cell r="D610">
            <v>20.780100000000001</v>
          </cell>
        </row>
        <row r="611">
          <cell r="A611" t="str">
            <v>001.15.01720</v>
          </cell>
          <cell r="B611" t="str">
            <v>Batente de madeira 3,5 x 14,5 cm para portas e janelas</v>
          </cell>
          <cell r="C611" t="str">
            <v>M</v>
          </cell>
          <cell r="D611">
            <v>8.0530000000000008</v>
          </cell>
        </row>
        <row r="612">
          <cell r="A612" t="str">
            <v>001.15.01740</v>
          </cell>
          <cell r="B612" t="str">
            <v>Reparo em esquadria - substituição de batente de madeira</v>
          </cell>
          <cell r="C612" t="str">
            <v>M</v>
          </cell>
          <cell r="D612">
            <v>17.803999999999998</v>
          </cell>
        </row>
        <row r="613">
          <cell r="A613" t="str">
            <v>001.15.01760</v>
          </cell>
          <cell r="B613" t="str">
            <v>Reparo em esquadria - substituição de folha de porta de madeira tipo solidor, inclusive dobradiças, -(0,60x1,80)m</v>
          </cell>
          <cell r="C613" t="str">
            <v>UN</v>
          </cell>
          <cell r="D613">
            <v>51.0627</v>
          </cell>
        </row>
        <row r="614">
          <cell r="A614" t="str">
            <v>001.15.01780</v>
          </cell>
          <cell r="B614" t="str">
            <v>Reparo em esquadria - substituição de folha de porta de madeira tipo solidor, inclusive dobradiças, -(0,60x2,10)m</v>
          </cell>
          <cell r="C614" t="str">
            <v>UN</v>
          </cell>
          <cell r="D614">
            <v>54.752699999999997</v>
          </cell>
        </row>
        <row r="615">
          <cell r="A615" t="str">
            <v>001.15.01800</v>
          </cell>
          <cell r="B615" t="str">
            <v>Reparo em esquadria - substituição de folha de porta de madeira tipo solidor, inclusive dobradiças, -(0,70x2,10)m</v>
          </cell>
          <cell r="C615" t="str">
            <v>UN</v>
          </cell>
          <cell r="D615">
            <v>54.752699999999997</v>
          </cell>
        </row>
        <row r="616">
          <cell r="A616" t="str">
            <v>001.15.01820</v>
          </cell>
          <cell r="B616" t="str">
            <v>Reparo em esquadria - substituição de folha de porta de madeira tipo solidor, inclusive dobradiças, -(0,80x2,10)m</v>
          </cell>
          <cell r="C616" t="str">
            <v>UN</v>
          </cell>
          <cell r="D616">
            <v>54.752699999999997</v>
          </cell>
        </row>
        <row r="617">
          <cell r="A617" t="str">
            <v>001.15.01840</v>
          </cell>
          <cell r="B617" t="str">
            <v>Reparo em esquadria - substituição de folha de porta de madeira tipo solidor, inclusive dobradiças, -(0,90x2,10)m</v>
          </cell>
          <cell r="C617" t="str">
            <v>UN</v>
          </cell>
          <cell r="D617">
            <v>92.752700000000004</v>
          </cell>
        </row>
        <row r="618">
          <cell r="A618" t="str">
            <v>001.15.01860</v>
          </cell>
          <cell r="B618" t="str">
            <v>Reparo em esquadria - substituição de batente de peroba, inclusive guarnições -vão de (0,60x2,10)m</v>
          </cell>
          <cell r="C618" t="str">
            <v>JG</v>
          </cell>
          <cell r="D618">
            <v>98.378</v>
          </cell>
        </row>
        <row r="619">
          <cell r="A619" t="str">
            <v>001.15.01880</v>
          </cell>
          <cell r="B619" t="str">
            <v>Reparo em esquadria - substituição de batente de peroba, inclusive guarnições -vão de (0,70x2,10)m</v>
          </cell>
          <cell r="C619" t="str">
            <v>JG</v>
          </cell>
          <cell r="D619">
            <v>97.031400000000005</v>
          </cell>
        </row>
        <row r="620">
          <cell r="A620" t="str">
            <v>001.15.01900</v>
          </cell>
          <cell r="B620" t="str">
            <v>Reparo em esquadria - substituição de batente de peroba, inclusive guarnições -vão de (0,80x2,10)m</v>
          </cell>
          <cell r="C620" t="str">
            <v>JG</v>
          </cell>
          <cell r="D620">
            <v>109.074</v>
          </cell>
        </row>
        <row r="621">
          <cell r="A621" t="str">
            <v>001.15.01920</v>
          </cell>
          <cell r="B621" t="str">
            <v>Reparo em Grades e Portões - substituição de ferro CA 25 1/2""""""""""""""""</v>
          </cell>
          <cell r="C621" t="str">
            <v>ML</v>
          </cell>
          <cell r="D621">
            <v>4.0170000000000003</v>
          </cell>
        </row>
        <row r="622">
          <cell r="A622" t="str">
            <v>001.15.01940</v>
          </cell>
          <cell r="B622" t="str">
            <v>Reparo em Grades e Portões - substituição de ferro CA 25 7/8""""""""""""""""</v>
          </cell>
          <cell r="C622" t="str">
            <v>ML</v>
          </cell>
          <cell r="D622">
            <v>13.781499999999999</v>
          </cell>
        </row>
        <row r="623">
          <cell r="A623" t="str">
            <v>001.15.01960</v>
          </cell>
          <cell r="B623" t="str">
            <v>Reparo em Alambrados e Portões - substituição de tubo de ferro em chapa preta diam.2"""""""""""""""" chapa 13</v>
          </cell>
          <cell r="C623" t="str">
            <v>ML</v>
          </cell>
          <cell r="D623">
            <v>16.1996</v>
          </cell>
        </row>
        <row r="624">
          <cell r="A624" t="str">
            <v>001.15.01980</v>
          </cell>
          <cell r="B624" t="str">
            <v>Reparo em Alambrados e Portões - substituição de tela de alambrado galvanizado malha 2"""""""""""""""" fio dw12</v>
          </cell>
          <cell r="C624" t="str">
            <v>M2</v>
          </cell>
          <cell r="D624">
            <v>14.1562</v>
          </cell>
        </row>
        <row r="625">
          <cell r="A625" t="str">
            <v>001.16</v>
          </cell>
          <cell r="B625" t="str">
            <v>REVESTIMENTO</v>
          </cell>
        </row>
        <row r="626">
          <cell r="A626" t="str">
            <v>001.16.00020</v>
          </cell>
          <cell r="B626" t="str">
            <v>Chapisco de aderência c/argamassa de cimento e areia traço 1:3 e= 5 mm</v>
          </cell>
          <cell r="C626" t="str">
            <v>M2</v>
          </cell>
          <cell r="D626">
            <v>1.9645999999999999</v>
          </cell>
        </row>
        <row r="627">
          <cell r="A627" t="str">
            <v>001.16.00040</v>
          </cell>
          <cell r="B627" t="str">
            <v>Chapisco de acab.c/argam.de cimento e pedrisco traço 1:4  e= 7 mm</v>
          </cell>
          <cell r="C627" t="str">
            <v>M2</v>
          </cell>
          <cell r="D627">
            <v>2.9428999999999998</v>
          </cell>
        </row>
        <row r="628">
          <cell r="A628" t="str">
            <v>001.16.00060</v>
          </cell>
          <cell r="B628" t="str">
            <v>Reboco paulista usando argamassa mista de cimento cal e areia no traço 1:2:8 com 20 mm de espessura</v>
          </cell>
          <cell r="C628" t="str">
            <v>M2</v>
          </cell>
          <cell r="D628">
            <v>7.8563000000000001</v>
          </cell>
        </row>
        <row r="629">
          <cell r="A629" t="str">
            <v>001.16.00080</v>
          </cell>
          <cell r="B629" t="str">
            <v>Reboco paulista usando argamassa mista de cimento cal e areia no traço 1:2:9 com 20 mm de espessura</v>
          </cell>
          <cell r="C629" t="str">
            <v>M2</v>
          </cell>
          <cell r="D629">
            <v>7.6722999999999999</v>
          </cell>
        </row>
        <row r="630">
          <cell r="A630" t="str">
            <v>001.16.00100</v>
          </cell>
          <cell r="B630" t="str">
            <v>Reboco c/ argamassa de cal em pasta e areia fina peneirada no traço 1:2 (espessura 0.5 cm)</v>
          </cell>
          <cell r="C630" t="str">
            <v>M2</v>
          </cell>
          <cell r="D630">
            <v>3.6526000000000001</v>
          </cell>
        </row>
        <row r="631">
          <cell r="A631" t="str">
            <v>001.16.00120</v>
          </cell>
          <cell r="B631" t="str">
            <v>Revestimento c/ argamassa de barita e = 1O mm</v>
          </cell>
          <cell r="C631" t="str">
            <v>M2</v>
          </cell>
          <cell r="D631">
            <v>42.438899999999997</v>
          </cell>
        </row>
        <row r="632">
          <cell r="A632" t="str">
            <v>001.16.00140</v>
          </cell>
          <cell r="B632" t="str">
            <v>Reboco barra lisa com argamassa de cimento e areia 1:1.5 com impermeabilizante inclusive emboço de cimento e areia 1:4</v>
          </cell>
          <cell r="C632" t="str">
            <v>M2</v>
          </cell>
          <cell r="D632">
            <v>17.582999999999998</v>
          </cell>
        </row>
        <row r="633">
          <cell r="A633" t="str">
            <v>001.16.00160</v>
          </cell>
          <cell r="B633" t="str">
            <v>Barra lisa c/ acabamento em nata de cimento comum c/ desempenadeira de aço sobre emboço de cimento e areia 1:4</v>
          </cell>
          <cell r="C633" t="str">
            <v>M2</v>
          </cell>
          <cell r="D633">
            <v>12.0661</v>
          </cell>
        </row>
        <row r="634">
          <cell r="A634" t="str">
            <v>001.16.00180</v>
          </cell>
          <cell r="B634" t="str">
            <v>Barra lisa c/ acabamento em nata de cimento comum c/ desempenadeira de aço sobre emboço de cimento e areia 1:4:8</v>
          </cell>
          <cell r="C634" t="str">
            <v>M2</v>
          </cell>
          <cell r="D634">
            <v>11.6393</v>
          </cell>
        </row>
        <row r="635">
          <cell r="A635" t="str">
            <v>001.16.00200</v>
          </cell>
          <cell r="B635" t="str">
            <v>Barra lisa c/ acabamento em nata de cimento branco c/ desempenadeira de aço sobre emboço de cimento e areia 1:4</v>
          </cell>
          <cell r="C635" t="str">
            <v>M2</v>
          </cell>
          <cell r="D635">
            <v>14.1021</v>
          </cell>
        </row>
        <row r="636">
          <cell r="A636" t="str">
            <v>001.16.00220</v>
          </cell>
          <cell r="B636" t="str">
            <v>Barra lisa c/ acabamento em nata de cimento comum c/ desempenadeira de aço sobre emboço de cimento e areia 1:4:8</v>
          </cell>
          <cell r="C636" t="str">
            <v>M2</v>
          </cell>
          <cell r="D636">
            <v>11.6393</v>
          </cell>
        </row>
        <row r="637">
          <cell r="A637" t="str">
            <v>001.16.00240</v>
          </cell>
          <cell r="B637" t="str">
            <v>Revestimento com azulejo branco (dimensão mínima 150x150 mm, espessura mínima 4 mm) empregando argamassa pré fabricada de cimento colante (a prumo ), incl rejuntamento</v>
          </cell>
          <cell r="C637" t="str">
            <v>M2</v>
          </cell>
          <cell r="D637">
            <v>22.807400000000001</v>
          </cell>
        </row>
        <row r="638">
          <cell r="A638" t="str">
            <v>001.16.00260</v>
          </cell>
          <cell r="B638" t="str">
            <v>Revestimento com azulejo decorado (dimensão mínima 150x150 mm, espessura mínima 4 mm) empregando argamassa pré fabricada de cimento colante (a prumo ), incl rejuntamento</v>
          </cell>
          <cell r="C638" t="str">
            <v>M2</v>
          </cell>
          <cell r="D638">
            <v>20.0244</v>
          </cell>
        </row>
        <row r="639">
          <cell r="A639" t="str">
            <v>001.16.00280</v>
          </cell>
          <cell r="B639" t="str">
            <v>Revestimento Com Piso Parede (dimensão mínima 300x300 mm, espessura mínima 6 mm) Empregando Argamassa Pré Fabricada de Cimento Colante, incl Rejuntamento</v>
          </cell>
          <cell r="C639" t="str">
            <v>M2</v>
          </cell>
          <cell r="D639">
            <v>20.022400000000001</v>
          </cell>
        </row>
        <row r="640">
          <cell r="A640" t="str">
            <v>001.16.00300</v>
          </cell>
          <cell r="B640" t="str">
            <v>Fornecimento e Assentamento de Pastilha de Porcelana (dimensão mínima 100x100 mm, espessura mínima 8 mm), Assentada Com Argamassa Pré- Fabricada de Cimento Colante, Incl. Rejuntamento</v>
          </cell>
          <cell r="C640" t="str">
            <v>M2</v>
          </cell>
          <cell r="D640">
            <v>47.213700000000003</v>
          </cell>
        </row>
        <row r="641">
          <cell r="A641" t="str">
            <v>001.16.00320</v>
          </cell>
          <cell r="B641" t="str">
            <v>Faixas decorativas para portas e janelas, 10 cm de largura, em argamassa mista de cimento cal e areia</v>
          </cell>
          <cell r="C641" t="str">
            <v>M</v>
          </cell>
          <cell r="D641">
            <v>4.2140000000000004</v>
          </cell>
        </row>
        <row r="642">
          <cell r="A642" t="str">
            <v>001.16.00340</v>
          </cell>
          <cell r="B642" t="str">
            <v>Fornecimento e Assentamento de Faixa Cerâmica Decorada Para Cozinha e Banheiro</v>
          </cell>
          <cell r="C642" t="str">
            <v>ML</v>
          </cell>
          <cell r="D642">
            <v>13.7517</v>
          </cell>
        </row>
        <row r="643">
          <cell r="A643" t="str">
            <v>001.17</v>
          </cell>
          <cell r="B643" t="str">
            <v>PISOS RODAPÉS SOLEIRAS E PEITORIS</v>
          </cell>
        </row>
        <row r="644">
          <cell r="A644" t="str">
            <v>001.17.00020</v>
          </cell>
          <cell r="B644" t="str">
            <v>Preparo e apiloamento do local destinado a receber o piso, incl. carga e transporte manual de material de caixão de empréstimo para complementação do que faltar.</v>
          </cell>
          <cell r="C644" t="str">
            <v>M2</v>
          </cell>
          <cell r="D644">
            <v>5.9382000000000001</v>
          </cell>
        </row>
        <row r="645">
          <cell r="A645" t="str">
            <v>001.17.00040</v>
          </cell>
          <cell r="B645" t="str">
            <v>Fornecimento e Execução de Picoteamento de Piso Para Aplicação de Argamassa de Regularização em Pisos Pré Exitentes</v>
          </cell>
          <cell r="C645" t="str">
            <v>M2</v>
          </cell>
          <cell r="D645">
            <v>1.3409</v>
          </cell>
        </row>
        <row r="646">
          <cell r="A646" t="str">
            <v>001.17.00060</v>
          </cell>
          <cell r="B646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646" t="str">
            <v>M3</v>
          </cell>
          <cell r="D646">
            <v>284.53379999999999</v>
          </cell>
        </row>
        <row r="647">
          <cell r="A647" t="str">
            <v>001.17.00080</v>
          </cell>
          <cell r="B647" t="str">
            <v>Contrapiso de concreto não estrutural Fck=13,5 Mpa, preparado com régua de alumínio e desempenadeira de madeira, perfeitamente nivelado, pronto para receber o piso, esp.= 6.00 cm</v>
          </cell>
          <cell r="C647" t="str">
            <v>M2</v>
          </cell>
          <cell r="D647">
            <v>17.023700000000002</v>
          </cell>
        </row>
        <row r="648">
          <cell r="A648" t="str">
            <v>001.17.00100</v>
          </cell>
          <cell r="B648" t="str">
            <v>Calçada em concreto Fck=13,5 Mpa, no traço 1:3:6 com junta de dilatação seca, formando quadro de 1.00x2.00 m, com 6 cm de espessura, preparado com régua de alumínio e desempenadeira de madeira, perfeitamente nivelado.</v>
          </cell>
          <cell r="C648" t="str">
            <v>M2</v>
          </cell>
          <cell r="D648">
            <v>19.578299999999999</v>
          </cell>
        </row>
        <row r="649">
          <cell r="A649" t="str">
            <v>001.17.00120</v>
          </cell>
          <cell r="B649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649" t="str">
            <v>M2</v>
          </cell>
          <cell r="D649">
            <v>19.578299999999999</v>
          </cell>
        </row>
        <row r="650">
          <cell r="A650" t="str">
            <v>001.17.00140</v>
          </cell>
          <cell r="B650" t="str">
            <v>Calçada em Concreto Usinado 13,50 Mpa, Com Junta de Dilatação Seca  formando Quadro 1.50 x 1.50 m, sendo a espessura de e= 5.00 cm, preparado com régua de alumínio e desempenadeira de madeira, perfeitamente nivelado.</v>
          </cell>
          <cell r="C650" t="str">
            <v>M2</v>
          </cell>
          <cell r="D650">
            <v>20.494199999999999</v>
          </cell>
        </row>
        <row r="651">
          <cell r="A651" t="str">
            <v>001.17.00160</v>
          </cell>
          <cell r="B651" t="str">
            <v>Calçada em Concreto Usinado 13,50 Mpa, Com Junta de Dilatação Seca, formando Quadro 1.50 x 1.50 m, sendo a espessura de e=7.00 cm, preparado com régua de alumínio e desempenadeira de madeira, perfeitamente nivelado.</v>
          </cell>
          <cell r="C651" t="str">
            <v>M2</v>
          </cell>
          <cell r="D651">
            <v>25.386099999999999</v>
          </cell>
        </row>
        <row r="652">
          <cell r="A652" t="str">
            <v>001.17.00180</v>
          </cell>
          <cell r="B652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652" t="str">
            <v>M2</v>
          </cell>
          <cell r="D652">
            <v>6.7178000000000004</v>
          </cell>
        </row>
        <row r="653">
          <cell r="A653" t="str">
            <v>001.17.00200</v>
          </cell>
          <cell r="B653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653" t="str">
            <v>M2</v>
          </cell>
          <cell r="D653">
            <v>10.9381</v>
          </cell>
        </row>
        <row r="654">
          <cell r="A654" t="str">
            <v>001.17.00220</v>
          </cell>
          <cell r="B654" t="str">
            <v>Cimentado liso queimado c/ po xadrez e=1.5 cm c/argamassa de cimento e areia no traço 1:3, umidecer abundantemente o contrapiso, aplicar nata de agua e cimento e finalmente a aplicar a argamassa.</v>
          </cell>
          <cell r="C654" t="str">
            <v>M2</v>
          </cell>
          <cell r="D654">
            <v>7.5518000000000001</v>
          </cell>
        </row>
        <row r="655">
          <cell r="A655" t="str">
            <v>001.17.00240</v>
          </cell>
          <cell r="B655" t="str">
            <v>Revestimento com Piso Cerâmico Esmaltado (dimensão mínima 300x300mm, espessura mínima 8 mm), PI 02, Assentado Com Argamassa Colante Uso Interno, incl. rejuntamento.</v>
          </cell>
          <cell r="C655" t="str">
            <v>M2</v>
          </cell>
          <cell r="D655">
            <v>19.539899999999999</v>
          </cell>
        </row>
        <row r="656">
          <cell r="A656" t="str">
            <v>001.17.00260</v>
          </cell>
          <cell r="B656" t="str">
            <v>Revestimento com Piso Cerâmico Esmaltado (dimensão mínima 300x300mm, espessura mínima 8 mm), PI 03, Assentado Com Argamassa Colante Uso Interno, incl. rejuntamento</v>
          </cell>
          <cell r="C656" t="str">
            <v>M2</v>
          </cell>
          <cell r="D656">
            <v>19.539899999999999</v>
          </cell>
        </row>
        <row r="657">
          <cell r="A657" t="str">
            <v>001.17.00280</v>
          </cell>
          <cell r="B657" t="str">
            <v>Revestimento com Piso Cerâmico Esmaltado (dimensão mínima 300x300mm, espessura mínima 8 mm), PI 04, Assentado Com Argamassa Colante Uso Interno, incl. rejuntamento</v>
          </cell>
          <cell r="C657" t="str">
            <v>M2</v>
          </cell>
          <cell r="D657">
            <v>19.539899999999999</v>
          </cell>
        </row>
        <row r="658">
          <cell r="A658" t="str">
            <v>001.17.00300</v>
          </cell>
          <cell r="B658" t="str">
            <v>Revestimento com Piso Cerâmico Esmaltado (dimensão mínima 300x300mm, espessura mínima 8 mm), PI 05, Assentado Com Argamassa Colante Uso Interno, incl. rejuntamento</v>
          </cell>
          <cell r="C658" t="str">
            <v>M2</v>
          </cell>
          <cell r="D658">
            <v>19.539899999999999</v>
          </cell>
        </row>
        <row r="659">
          <cell r="A659" t="str">
            <v>001.17.00320</v>
          </cell>
          <cell r="B659" t="str">
            <v>Revestimento de pisos e lajotas cerâmicas 30x30 cm assente c/argamassa de cimento e areia 1:4</v>
          </cell>
          <cell r="C659" t="str">
            <v>M2</v>
          </cell>
          <cell r="D659">
            <v>21.958600000000001</v>
          </cell>
        </row>
        <row r="660">
          <cell r="A660" t="str">
            <v>001.17.00340</v>
          </cell>
          <cell r="B660" t="str">
            <v>Assentamento de ladrilho hidráulico cor natural do cimento, assente com argamassa mista de cimento, cal e areia traço 1:4 adição 100 kg cimento</v>
          </cell>
          <cell r="C660" t="str">
            <v>M2</v>
          </cell>
          <cell r="D660">
            <v>34.7776</v>
          </cell>
        </row>
        <row r="661">
          <cell r="A661" t="str">
            <v>001.17.00360</v>
          </cell>
          <cell r="B661" t="str">
            <v>Assentamento de ladrilho hidráulico cor única, assente com argamassa mista de cimento, cal e areia traço 1:4 adição 100 kg cimento</v>
          </cell>
          <cell r="C661" t="str">
            <v>M2</v>
          </cell>
          <cell r="D661">
            <v>36.977600000000002</v>
          </cell>
        </row>
        <row r="662">
          <cell r="A662" t="str">
            <v>001.17.00380</v>
          </cell>
          <cell r="B662" t="str">
            <v>Assentamento de ladrilho hidráulico tipo Cuiabá, assente com argamassa mista de cimento, cal e areia traço 1:4 adição 100 kg cimento</v>
          </cell>
          <cell r="C662" t="str">
            <v>M2</v>
          </cell>
          <cell r="D662">
            <v>38.077599999999997</v>
          </cell>
        </row>
        <row r="663">
          <cell r="A663" t="str">
            <v>001.17.00400</v>
          </cell>
          <cell r="B663" t="str">
            <v>Assentamento de ladrilho hidráulico tipo Copacabana, assente com argamassa mista de cimento, cal e areia traço 1:4 adição 100 kg cimento</v>
          </cell>
          <cell r="C663" t="str">
            <v>M2</v>
          </cell>
          <cell r="D663">
            <v>43.577599999999997</v>
          </cell>
        </row>
        <row r="664">
          <cell r="A664" t="str">
            <v>001.17.00420</v>
          </cell>
          <cell r="B664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664" t="str">
            <v>M2</v>
          </cell>
          <cell r="D664">
            <v>17.291699999999999</v>
          </cell>
        </row>
        <row r="665">
          <cell r="A665" t="str">
            <v>001.17.00440</v>
          </cell>
          <cell r="B665" t="str">
            <v>Assentamento de junta plástica de dilatacao p/pisos de 19 mm</v>
          </cell>
          <cell r="C665" t="str">
            <v>ML</v>
          </cell>
          <cell r="D665">
            <v>1.6786000000000001</v>
          </cell>
        </row>
        <row r="666">
          <cell r="A666" t="str">
            <v>001.17.00460</v>
          </cell>
          <cell r="B666" t="str">
            <v>Revestimento de piso em ardosia natural 40x40cm cor preta tipo on com resinex</v>
          </cell>
          <cell r="C666" t="str">
            <v>M2</v>
          </cell>
          <cell r="D666">
            <v>26.813199999999998</v>
          </cell>
        </row>
        <row r="667">
          <cell r="A667" t="str">
            <v>001.17.00480</v>
          </cell>
          <cell r="B667" t="str">
            <v>Revestimento de paviflex sobre lastro ou laje regularizada, assentado com cola especial de 2.00 mm de espessura</v>
          </cell>
          <cell r="C667" t="str">
            <v>M2</v>
          </cell>
          <cell r="D667">
            <v>40.234699999999997</v>
          </cell>
        </row>
        <row r="668">
          <cell r="A668" t="str">
            <v>001.17.00500</v>
          </cell>
          <cell r="B668" t="str">
            <v>Revestimento de paviflex sobre lastro ou laje regularizada, assentado com cola especial de 3.20 mm de espessura</v>
          </cell>
          <cell r="C668" t="str">
            <v>M2</v>
          </cell>
          <cell r="D668">
            <v>68.584699999999998</v>
          </cell>
        </row>
        <row r="669">
          <cell r="A669" t="str">
            <v>001.17.00520</v>
          </cell>
          <cell r="B669" t="str">
            <v>Revestimento de paviflex sobre lastro ou laje regularizada, assentado com cola especial de 1.60 mm de espessura</v>
          </cell>
          <cell r="C669" t="str">
            <v>M2</v>
          </cell>
          <cell r="D669">
            <v>32.884700000000002</v>
          </cell>
        </row>
        <row r="670">
          <cell r="A670" t="str">
            <v>001.17.00540</v>
          </cell>
          <cell r="B670" t="str">
            <v>Revestimento da escada (degrau e espelho) c/ ardósia preta tipo on c/ resinex</v>
          </cell>
          <cell r="C670" t="str">
            <v>M2</v>
          </cell>
          <cell r="D670">
            <v>31.087</v>
          </cell>
        </row>
        <row r="671">
          <cell r="A671" t="str">
            <v>001.17.00560</v>
          </cell>
          <cell r="B671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671" t="str">
            <v>M2</v>
          </cell>
          <cell r="D671">
            <v>42.822499999999998</v>
          </cell>
        </row>
        <row r="672">
          <cell r="A672" t="str">
            <v>001.17.00580</v>
          </cell>
          <cell r="B672" t="str">
            <v>Assentamento de rodapé de cimentado usando argamassa de cimento e areia 1:3 com altura de 10 cm, simples</v>
          </cell>
          <cell r="C672" t="str">
            <v>ML</v>
          </cell>
          <cell r="D672">
            <v>5.5068999999999999</v>
          </cell>
        </row>
        <row r="673">
          <cell r="A673" t="str">
            <v>001.17.00600</v>
          </cell>
          <cell r="B673" t="str">
            <v>Assentamento de rodapé de cimentado usando argamassa de cimento e areia 1:3 com altura de 10 cm, de cor</v>
          </cell>
          <cell r="C673" t="str">
            <v>ML</v>
          </cell>
          <cell r="D673">
            <v>6.4356</v>
          </cell>
        </row>
        <row r="674">
          <cell r="A674" t="str">
            <v>001.17.00620</v>
          </cell>
          <cell r="B674" t="str">
            <v>Assentamento de rodapés para pisos em ceramica 30x30</v>
          </cell>
          <cell r="C674" t="str">
            <v>ML</v>
          </cell>
          <cell r="D674">
            <v>5.5180999999999996</v>
          </cell>
        </row>
        <row r="675">
          <cell r="A675" t="str">
            <v>001.17.00640</v>
          </cell>
          <cell r="B675" t="str">
            <v>Assentamento de rodapés de de madeira de 10 cm de altura</v>
          </cell>
          <cell r="C675" t="str">
            <v>ML</v>
          </cell>
          <cell r="D675">
            <v>7.4701000000000004</v>
          </cell>
        </row>
        <row r="676">
          <cell r="A676" t="str">
            <v>001.17.00660</v>
          </cell>
          <cell r="B676" t="str">
            <v>Assentamento de mármore c/10 cm de altura e 2.00 cm de espessura</v>
          </cell>
          <cell r="C676" t="str">
            <v>ML</v>
          </cell>
          <cell r="D676">
            <v>19.675699999999999</v>
          </cell>
        </row>
        <row r="677">
          <cell r="A677" t="str">
            <v>001.17.00680</v>
          </cell>
          <cell r="B677" t="str">
            <v>Assentamento de rodapé de cerâmica empregando pasta de argamassa de cimento colante</v>
          </cell>
          <cell r="C677" t="str">
            <v>ML</v>
          </cell>
          <cell r="D677">
            <v>2.1625999999999999</v>
          </cell>
        </row>
        <row r="678">
          <cell r="A678" t="str">
            <v>001.17.00700</v>
          </cell>
          <cell r="B678" t="str">
            <v>Assentamento de paviflex c/9 cm de altura assente com cola especial</v>
          </cell>
          <cell r="C678" t="str">
            <v>ML</v>
          </cell>
          <cell r="D678">
            <v>4.3391000000000002</v>
          </cell>
        </row>
        <row r="679">
          <cell r="A679" t="str">
            <v>001.17.00720</v>
          </cell>
          <cell r="B679" t="str">
            <v>Assentamento de rodapé de madeira de peróba 7x1.5 cm fixados c/tacos de peróba previamente chumbados na alvenaria c/ espaçamento max. de 2.00x2.00 m</v>
          </cell>
          <cell r="C679" t="str">
            <v>ML</v>
          </cell>
          <cell r="D679">
            <v>22.881</v>
          </cell>
        </row>
        <row r="680">
          <cell r="A680" t="str">
            <v>001.17.00740</v>
          </cell>
          <cell r="B680" t="str">
            <v>Assentamento de rodapé de ardósia natural</v>
          </cell>
          <cell r="C680" t="str">
            <v>ML</v>
          </cell>
          <cell r="D680">
            <v>8.0330999999999992</v>
          </cell>
        </row>
        <row r="681">
          <cell r="A681" t="str">
            <v>001.17.00760</v>
          </cell>
          <cell r="B681" t="str">
            <v>Assentamento de rodapé de granito na cor verde ubatuba com 7 cm de espessura</v>
          </cell>
          <cell r="C681" t="str">
            <v>ML</v>
          </cell>
          <cell r="D681">
            <v>19.363700000000001</v>
          </cell>
        </row>
        <row r="682">
          <cell r="A682" t="str">
            <v>001.17.00780</v>
          </cell>
          <cell r="B682" t="str">
            <v>Assentamento de rodapé de de lajota colonial</v>
          </cell>
          <cell r="C682" t="str">
            <v>ML</v>
          </cell>
          <cell r="D682">
            <v>8.2090999999999994</v>
          </cell>
        </row>
        <row r="683">
          <cell r="A683" t="str">
            <v>001.17.00800</v>
          </cell>
          <cell r="B683" t="str">
            <v>Assentamento de soleiras externas c/ pingadeira ou ressalto penetrando 2.50 cm de c/ lado da alvenaria assentado c/ aragam. de cimento e areia no traço 1:4, de mármore branco marfim 3.00 cm</v>
          </cell>
          <cell r="C683" t="str">
            <v>ML</v>
          </cell>
          <cell r="D683">
            <v>21.2012</v>
          </cell>
        </row>
        <row r="684">
          <cell r="A684" t="str">
            <v>001.17.00820</v>
          </cell>
          <cell r="B684" t="str">
            <v>Assentamento de soleiras externas c/ pingadeira ou ressalto penetrando 2.50 cm de c/ lado da alvenaria assentado c/ aragam. de cimento e areia no traço 1:4, de granilite</v>
          </cell>
          <cell r="C684" t="str">
            <v>ML</v>
          </cell>
          <cell r="D684">
            <v>6.5772000000000004</v>
          </cell>
        </row>
        <row r="685">
          <cell r="A685" t="str">
            <v>001.17.00840</v>
          </cell>
          <cell r="B685" t="str">
            <v>Assentamento de soleira interna de 0.15 m de mármore branco marfim 3.00 cmassente c/ argamassa de cimento e areia 1:4 m</v>
          </cell>
          <cell r="C685" t="str">
            <v>ML</v>
          </cell>
          <cell r="D685">
            <v>20.424099999999999</v>
          </cell>
        </row>
        <row r="686">
          <cell r="A686" t="str">
            <v>001.17.00860</v>
          </cell>
          <cell r="B686" t="str">
            <v>Assentamento de soleira interna de 0.15 m de granilite  assente c/ argamassa de cimento e areia 1:4 m</v>
          </cell>
          <cell r="C686" t="str">
            <v>ML</v>
          </cell>
          <cell r="D686">
            <v>7.1993999999999998</v>
          </cell>
        </row>
        <row r="687">
          <cell r="A687" t="str">
            <v>001.17.00880</v>
          </cell>
          <cell r="B687" t="str">
            <v>Assentamento de soleira interna de 0.15 m de ardósia ,assente c/ argamassa de cimento e areia no traço 1:4</v>
          </cell>
          <cell r="C687" t="str">
            <v>ML</v>
          </cell>
          <cell r="D687">
            <v>11.467000000000001</v>
          </cell>
        </row>
        <row r="688">
          <cell r="A688" t="str">
            <v>001.17.00900</v>
          </cell>
          <cell r="B688" t="str">
            <v>Assentamento de soleira de granito l=0,15m e=2cm</v>
          </cell>
          <cell r="C688" t="str">
            <v>UN</v>
          </cell>
          <cell r="D688">
            <v>23.526199999999999</v>
          </cell>
        </row>
        <row r="689">
          <cell r="A689" t="str">
            <v>001.17.00920</v>
          </cell>
          <cell r="B689" t="str">
            <v>Assentamento de soleira de granito na cor verde ubatuba l=15 cm</v>
          </cell>
          <cell r="C689" t="str">
            <v>ML</v>
          </cell>
          <cell r="D689">
            <v>40.626199999999997</v>
          </cell>
        </row>
        <row r="690">
          <cell r="A690" t="str">
            <v>001.17.00940</v>
          </cell>
          <cell r="B690" t="str">
            <v>Assentamento de peitoril de mármore branco espessura 3.00 cm, assente com argamassa de cimento e areia traço 1:4</v>
          </cell>
          <cell r="C690" t="str">
            <v>ML</v>
          </cell>
          <cell r="D690">
            <v>17.912199999999999</v>
          </cell>
        </row>
        <row r="691">
          <cell r="A691" t="str">
            <v>001.17.00960</v>
          </cell>
          <cell r="B691" t="str">
            <v>Assentamento de peitoril de granilite espessura 2.50 cm, assente com argamassa de cimento e areia traço 1:4</v>
          </cell>
          <cell r="C691" t="str">
            <v>ML</v>
          </cell>
          <cell r="D691">
            <v>8.5312000000000001</v>
          </cell>
        </row>
        <row r="692">
          <cell r="A692" t="str">
            <v>001.17.00980</v>
          </cell>
          <cell r="B692" t="str">
            <v>Assentamento de peitoril de ardósia polida  espessura 3.00 cm, assente com argamassa de cimento e areia traço 1:4</v>
          </cell>
          <cell r="C692" t="str">
            <v>ML</v>
          </cell>
          <cell r="D692">
            <v>14.2743</v>
          </cell>
        </row>
        <row r="693">
          <cell r="A693" t="str">
            <v>001.17.01000</v>
          </cell>
          <cell r="B693" t="str">
            <v>Assentamento de peitoril interno de mármore branco espessura 2.00 cm, assentes com argamassa de cimento e areia 1:4</v>
          </cell>
          <cell r="C693" t="str">
            <v>ML</v>
          </cell>
          <cell r="D693">
            <v>18.950099999999999</v>
          </cell>
        </row>
        <row r="694">
          <cell r="A694" t="str">
            <v>001.17.01020</v>
          </cell>
          <cell r="B694" t="str">
            <v>Assentamento de peitoril interno de granilite espessura 2.50 cm, assentes com argamassa de cimento e areia 1:4</v>
          </cell>
          <cell r="C694" t="str">
            <v>ML</v>
          </cell>
          <cell r="D694">
            <v>5.8000999999999996</v>
          </cell>
        </row>
        <row r="695">
          <cell r="A695" t="str">
            <v>001.18</v>
          </cell>
          <cell r="B695" t="str">
            <v>FORROS E DIVISÓRIAS</v>
          </cell>
        </row>
        <row r="696">
          <cell r="A696" t="str">
            <v>001.18.00020</v>
          </cell>
          <cell r="B696" t="str">
            <v>Forro de tábuas de cedrinho 10.00x1.00 cm aplicados em sarrafos 10x2.5 cm espacados de 50x50 cm</v>
          </cell>
          <cell r="C696" t="str">
            <v>M2</v>
          </cell>
          <cell r="D696">
            <v>28.981100000000001</v>
          </cell>
        </row>
        <row r="697">
          <cell r="A697" t="str">
            <v>001.18.00040</v>
          </cell>
          <cell r="B697" t="str">
            <v>Forro de tábuas de cedrinho 10.00x1.00 cm aplicados em caibros de 5x6 cm espaçados de 50x50 cm</v>
          </cell>
          <cell r="C697" t="str">
            <v>M2</v>
          </cell>
          <cell r="D697">
            <v>29.6081</v>
          </cell>
        </row>
        <row r="698">
          <cell r="A698" t="str">
            <v>001.18.00060</v>
          </cell>
          <cell r="B698" t="str">
            <v>Cimalha de cedrinho</v>
          </cell>
          <cell r="C698" t="str">
            <v>ML</v>
          </cell>
          <cell r="D698">
            <v>2.3504</v>
          </cell>
        </row>
        <row r="699">
          <cell r="A699" t="str">
            <v>001.18.00080</v>
          </cell>
          <cell r="B699" t="str">
            <v>Forro de gesso 60x60 cm liso fixado diretamente na estrutura por meio de arame galvanizado</v>
          </cell>
          <cell r="C699" t="str">
            <v>M2</v>
          </cell>
          <cell r="D699">
            <v>17.4831</v>
          </cell>
        </row>
        <row r="700">
          <cell r="A700" t="str">
            <v>001.18.00100</v>
          </cell>
          <cell r="B700" t="str">
            <v>Forro Em Gesso Acartonado com Painel FGA  incl. assessórios</v>
          </cell>
          <cell r="C700" t="str">
            <v>M2</v>
          </cell>
          <cell r="D700">
            <v>24.903099999999998</v>
          </cell>
        </row>
        <row r="701">
          <cell r="A701" t="str">
            <v>001.18.00120</v>
          </cell>
          <cell r="B701" t="str">
            <v>Forro Em Gesso Acartonado com Painel FGE  incl. assessórios</v>
          </cell>
          <cell r="C701" t="str">
            <v>M2</v>
          </cell>
          <cell r="D701">
            <v>38.106699999999996</v>
          </cell>
        </row>
        <row r="702">
          <cell r="A702" t="str">
            <v>001.18.00140</v>
          </cell>
          <cell r="B702" t="str">
            <v>Fornecimento e Instalação de Moldura em Gesso h=7 cm</v>
          </cell>
          <cell r="C702" t="str">
            <v>M</v>
          </cell>
          <cell r="D702">
            <v>7</v>
          </cell>
        </row>
        <row r="703">
          <cell r="A703" t="str">
            <v>001.18.00160</v>
          </cell>
          <cell r="B703" t="str">
            <v>Sanca de gesso l=1,20 m</v>
          </cell>
          <cell r="C703" t="str">
            <v>ML</v>
          </cell>
          <cell r="D703">
            <v>25</v>
          </cell>
        </row>
        <row r="704">
          <cell r="A704" t="str">
            <v>001.18.00180</v>
          </cell>
          <cell r="B704" t="str">
            <v>Sanca de gesso l=0,30m</v>
          </cell>
          <cell r="C704" t="str">
            <v>ML</v>
          </cell>
          <cell r="D704">
            <v>9</v>
          </cell>
        </row>
        <row r="705">
          <cell r="A705" t="str">
            <v>001.18.00200</v>
          </cell>
          <cell r="B705" t="str">
            <v>Fornecimento e Instalação de Forro de pvc branco 200 mm, incl. estrutura para fixação em metalon galvanizado e rodaforro</v>
          </cell>
          <cell r="C705" t="str">
            <v>M2</v>
          </cell>
          <cell r="D705">
            <v>29</v>
          </cell>
        </row>
        <row r="706">
          <cell r="A706" t="str">
            <v>001.18.00220</v>
          </cell>
          <cell r="B706" t="str">
            <v>Substituição de tábuas p/forro de cedrinho</v>
          </cell>
          <cell r="C706" t="str">
            <v>M2</v>
          </cell>
          <cell r="D706">
            <v>18.575099999999999</v>
          </cell>
        </row>
        <row r="707">
          <cell r="A707" t="str">
            <v>001.18.00240</v>
          </cell>
          <cell r="B707" t="str">
            <v>Repregamento de forro de madeira</v>
          </cell>
          <cell r="C707" t="str">
            <v>M2</v>
          </cell>
          <cell r="D707">
            <v>1.3022</v>
          </cell>
        </row>
        <row r="708">
          <cell r="A708" t="str">
            <v>001.18.00260</v>
          </cell>
          <cell r="B708" t="str">
            <v>Fornecimento e instalação de divisória de granilite para sanitários assentada com argamassa de cimento e areia 1:3</v>
          </cell>
          <cell r="C708" t="str">
            <v>M2</v>
          </cell>
          <cell r="D708">
            <v>118.4789</v>
          </cell>
        </row>
        <row r="709">
          <cell r="A709" t="str">
            <v>001.18.00280</v>
          </cell>
          <cell r="B709" t="str">
            <v>Fornecimento e instalação de divisória p/ banheiro em ardosia polida natural c/ resinex</v>
          </cell>
          <cell r="C709" t="str">
            <v>M2</v>
          </cell>
          <cell r="D709">
            <v>109.74209999999999</v>
          </cell>
        </row>
        <row r="710">
          <cell r="A710" t="str">
            <v>001.18.00300</v>
          </cell>
          <cell r="B710" t="str">
            <v>Fornecimento e instalação de divisória p/ banheiro em granito polido, assente com argamassa,  na cor cinza.</v>
          </cell>
          <cell r="C710" t="str">
            <v>M2</v>
          </cell>
          <cell r="D710">
            <v>156.2921</v>
          </cell>
        </row>
        <row r="711">
          <cell r="A711" t="str">
            <v>001.18.00320</v>
          </cell>
          <cell r="B711" t="str">
            <v>Fornecimento e instalação de divisória naval stander padrão bege com perfis de aço na cor preto , cinza ou branco</v>
          </cell>
          <cell r="C711" t="str">
            <v>M2</v>
          </cell>
          <cell r="D711">
            <v>42.415199999999999</v>
          </cell>
        </row>
        <row r="712">
          <cell r="A712" t="str">
            <v>001.18.00340</v>
          </cell>
          <cell r="B712" t="str">
            <v>Fornecimento e instalação de porta de divisória  incl.montante , fechadura e dobradiças, divisória naval stander branco, cinza ou areia jundiai  com perfis de aço na cor preto, branco e cinza</v>
          </cell>
          <cell r="C712" t="str">
            <v>CJ</v>
          </cell>
          <cell r="D712">
            <v>126.0838</v>
          </cell>
        </row>
        <row r="713">
          <cell r="A713" t="str">
            <v>001.18.00360</v>
          </cell>
          <cell r="B713" t="str">
            <v>Fornecimento e instalação de divisória naval stander padrão branco, cinza ou areia jundiai, perfis de aço na cor preta e bandeira em vidro</v>
          </cell>
          <cell r="C713" t="str">
            <v>M2</v>
          </cell>
          <cell r="D713">
            <v>56.115600000000001</v>
          </cell>
        </row>
        <row r="714">
          <cell r="A714" t="str">
            <v>001.18.00380</v>
          </cell>
          <cell r="B714" t="str">
            <v>Fornecimento e instalação de porta de divisória  incl.montante , fechadura e dobradiças, divisória naval stander branco, cinza ou areia jundiai  com perfis de aço na cor preto, branco e cinza</v>
          </cell>
          <cell r="C714" t="str">
            <v>CJ</v>
          </cell>
          <cell r="D714">
            <v>126.0838</v>
          </cell>
        </row>
        <row r="715">
          <cell r="A715" t="str">
            <v>001.18.00400</v>
          </cell>
          <cell r="B715" t="str">
            <v>Fornecimento e instalação de ferragens para porta de divisória</v>
          </cell>
          <cell r="C715" t="str">
            <v>UN</v>
          </cell>
          <cell r="D715">
            <v>71.041899999999998</v>
          </cell>
        </row>
        <row r="716">
          <cell r="A716" t="str">
            <v>001.18.00420</v>
          </cell>
          <cell r="B716" t="str">
            <v>Parede Em Gesso Acartonado Revestida nas Duas Faces com Painel FGE sendo Montante e Guia 75, incl. parafuso GN 25, Massa e Fita .</v>
          </cell>
          <cell r="C716" t="str">
            <v>M2</v>
          </cell>
          <cell r="D716">
            <v>60.340299999999999</v>
          </cell>
        </row>
        <row r="717">
          <cell r="A717" t="str">
            <v>001.19</v>
          </cell>
          <cell r="B717" t="str">
            <v>VIDROS</v>
          </cell>
        </row>
        <row r="718">
          <cell r="A718" t="str">
            <v>001.19.00020</v>
          </cell>
          <cell r="B718" t="str">
            <v>Fornecimento e Instalação de Vidro liso incolor espessura 3.00 mm</v>
          </cell>
          <cell r="C718" t="str">
            <v>M2</v>
          </cell>
          <cell r="D718">
            <v>42</v>
          </cell>
        </row>
        <row r="719">
          <cell r="A719" t="str">
            <v>001.19.00040</v>
          </cell>
          <cell r="B719" t="str">
            <v>Fornecimento e Instalação de Vidro liso incolor espessura 4.00 mm</v>
          </cell>
          <cell r="C719" t="str">
            <v>M2</v>
          </cell>
          <cell r="D719">
            <v>58</v>
          </cell>
        </row>
        <row r="720">
          <cell r="A720" t="str">
            <v>001.19.00060</v>
          </cell>
          <cell r="B720" t="str">
            <v>Fornecimento e Instalação de Vidro liso incolor espessura 5.00 mm</v>
          </cell>
          <cell r="C720" t="str">
            <v>M2</v>
          </cell>
          <cell r="D720">
            <v>75</v>
          </cell>
        </row>
        <row r="721">
          <cell r="A721" t="str">
            <v>001.19.00080</v>
          </cell>
          <cell r="B721" t="str">
            <v>Fornecimento e Instalação de Vidro liso incolor espessura 6.00 mm</v>
          </cell>
          <cell r="C721" t="str">
            <v>M2</v>
          </cell>
          <cell r="D721">
            <v>85</v>
          </cell>
        </row>
        <row r="722">
          <cell r="A722" t="str">
            <v>001.19.00100</v>
          </cell>
          <cell r="B722" t="str">
            <v>Fornecimento e Instalação de Vidro liso incolor espessura 8.00 mm</v>
          </cell>
          <cell r="C722" t="str">
            <v>M2</v>
          </cell>
          <cell r="D722">
            <v>100</v>
          </cell>
        </row>
        <row r="723">
          <cell r="A723" t="str">
            <v>001.19.00120</v>
          </cell>
          <cell r="B723" t="str">
            <v>Fornecimento e Instalação de Vidro liso incolor espessura 10.00 mm</v>
          </cell>
          <cell r="C723" t="str">
            <v>M2</v>
          </cell>
          <cell r="D723">
            <v>145</v>
          </cell>
        </row>
        <row r="724">
          <cell r="A724" t="str">
            <v>001.19.00140</v>
          </cell>
          <cell r="B724" t="str">
            <v>Fornecimento e Instalação de Vidro martelado espessura 3.00 mm</v>
          </cell>
          <cell r="C724" t="str">
            <v>M2</v>
          </cell>
          <cell r="D724">
            <v>42</v>
          </cell>
        </row>
        <row r="725">
          <cell r="A725" t="str">
            <v>001.19.00160</v>
          </cell>
          <cell r="B725" t="str">
            <v>Fornecimento e Instalação de Vidro canelado comum espessura 4.00 mm</v>
          </cell>
          <cell r="C725" t="str">
            <v>M2</v>
          </cell>
          <cell r="D725">
            <v>42</v>
          </cell>
        </row>
        <row r="726">
          <cell r="A726" t="str">
            <v>001.19.00180</v>
          </cell>
          <cell r="B726" t="str">
            <v>Fornecimento e Instalação de Vidro liso fumê cinza espessura 4.00 mm</v>
          </cell>
          <cell r="C726" t="str">
            <v>M2</v>
          </cell>
          <cell r="D726">
            <v>85</v>
          </cell>
        </row>
        <row r="727">
          <cell r="A727" t="str">
            <v>001.19.00200</v>
          </cell>
          <cell r="B727" t="str">
            <v>Fornecimento e Instalação de Vidro liso fumê cinza espessura 5.00 mm</v>
          </cell>
          <cell r="C727" t="str">
            <v>M2</v>
          </cell>
          <cell r="D727">
            <v>100</v>
          </cell>
        </row>
        <row r="728">
          <cell r="A728" t="str">
            <v>001.19.00220</v>
          </cell>
          <cell r="B728" t="str">
            <v>Fornecimento e Instalação de Vidro liso cinza fumê espessura 6.00 mm</v>
          </cell>
          <cell r="C728" t="str">
            <v>M2</v>
          </cell>
          <cell r="D728">
            <v>115</v>
          </cell>
        </row>
        <row r="729">
          <cell r="A729" t="str">
            <v>001.19.00240</v>
          </cell>
          <cell r="B729" t="str">
            <v>Fornecimento e Instalação de Vidro liso cinza fumê espessura 8.00 mm</v>
          </cell>
          <cell r="C729" t="str">
            <v>M2</v>
          </cell>
          <cell r="D729">
            <v>155</v>
          </cell>
        </row>
        <row r="730">
          <cell r="A730" t="str">
            <v>001.19.00260</v>
          </cell>
          <cell r="B730" t="str">
            <v>Fornecimento e Instalação de Vidro liso fumê cinza espessura 10.00 mm</v>
          </cell>
          <cell r="C730" t="str">
            <v>M2</v>
          </cell>
          <cell r="D730">
            <v>195</v>
          </cell>
        </row>
        <row r="731">
          <cell r="A731" t="str">
            <v>001.19.00280</v>
          </cell>
          <cell r="B731" t="str">
            <v>Fornecimento e Instalação de Vidro liso incolor termperado espessura 6.00 mm</v>
          </cell>
          <cell r="C731" t="str">
            <v>M2</v>
          </cell>
          <cell r="D731">
            <v>115</v>
          </cell>
        </row>
        <row r="732">
          <cell r="A732" t="str">
            <v>001.19.00300</v>
          </cell>
          <cell r="B732" t="str">
            <v>Fornecimento e Instalação de Vidro liso incolor termperado espessura 8.00 mm</v>
          </cell>
          <cell r="C732" t="str">
            <v>M2</v>
          </cell>
          <cell r="D732">
            <v>140</v>
          </cell>
        </row>
        <row r="733">
          <cell r="A733" t="str">
            <v>001.19.00320</v>
          </cell>
          <cell r="B733" t="str">
            <v>Fornecimento e Instalação de Vidro liso incolor termperado espessura 10.00 mm</v>
          </cell>
          <cell r="C733" t="str">
            <v>M2</v>
          </cell>
          <cell r="D733">
            <v>170</v>
          </cell>
        </row>
        <row r="734">
          <cell r="A734" t="str">
            <v>001.19.00340</v>
          </cell>
          <cell r="B734" t="str">
            <v>Fornecimento e Instalação de Vidro liso cinza fumê temperado espessura 6 mm</v>
          </cell>
          <cell r="C734" t="str">
            <v>M2</v>
          </cell>
          <cell r="D734">
            <v>145</v>
          </cell>
        </row>
        <row r="735">
          <cell r="A735" t="str">
            <v>001.19.00360</v>
          </cell>
          <cell r="B735" t="str">
            <v>Fornecimento e Instalação de Vidro liso cinza fumê temperado espessura 8 mm</v>
          </cell>
          <cell r="C735" t="str">
            <v>M2</v>
          </cell>
          <cell r="D735">
            <v>190</v>
          </cell>
        </row>
        <row r="736">
          <cell r="A736" t="str">
            <v>001.19.00380</v>
          </cell>
          <cell r="B736" t="str">
            <v>Fornecimento e Instalação de Vidro liso cinza fumê temperado espessura 10 mm</v>
          </cell>
          <cell r="C736" t="str">
            <v>M2</v>
          </cell>
          <cell r="D736">
            <v>225</v>
          </cell>
        </row>
        <row r="737">
          <cell r="A737" t="str">
            <v>001.19.00400</v>
          </cell>
          <cell r="B737" t="str">
            <v>Fornecimento e Instalação de Perfil """"""""U"""""""" Cavalão</v>
          </cell>
          <cell r="C737" t="str">
            <v>ML</v>
          </cell>
          <cell r="D737">
            <v>8.6966999999999999</v>
          </cell>
        </row>
        <row r="738">
          <cell r="A738" t="str">
            <v>001.19.00420</v>
          </cell>
          <cell r="B738" t="str">
            <v>Fornecimento e Instalação de Dobradiça Inferior Para Porta de Vidro</v>
          </cell>
          <cell r="C738" t="str">
            <v>UN</v>
          </cell>
          <cell r="D738">
            <v>53.465899999999998</v>
          </cell>
        </row>
        <row r="739">
          <cell r="A739" t="str">
            <v>001.19.00440</v>
          </cell>
          <cell r="B739" t="str">
            <v>Fornecimento e Instalação de Dobradiça Superior Para Porta de Vidro</v>
          </cell>
          <cell r="C739" t="str">
            <v>UN</v>
          </cell>
          <cell r="D739">
            <v>53.465899999999998</v>
          </cell>
        </row>
        <row r="740">
          <cell r="A740" t="str">
            <v>001.19.00460</v>
          </cell>
          <cell r="B740" t="str">
            <v>Fornecimento e Instalação de Trinco Para Piso em Porta de Vidro</v>
          </cell>
          <cell r="C740" t="str">
            <v>UN</v>
          </cell>
          <cell r="D740">
            <v>62.746000000000002</v>
          </cell>
        </row>
        <row r="741">
          <cell r="A741" t="str">
            <v>001.19.00480</v>
          </cell>
          <cell r="B741" t="str">
            <v>Fornecimento e Instalação de Fechadura e  Contra Fechadura Para Porta de Vidro</v>
          </cell>
          <cell r="C741" t="str">
            <v>CJ</v>
          </cell>
          <cell r="D741">
            <v>93.465900000000005</v>
          </cell>
        </row>
        <row r="742">
          <cell r="A742" t="str">
            <v>001.19.00500</v>
          </cell>
          <cell r="B742" t="str">
            <v>Fornecimento e Instalação de Puxador de Madeira Para Porta de Vidro</v>
          </cell>
          <cell r="C742" t="str">
            <v>CJ</v>
          </cell>
          <cell r="D742">
            <v>43.465899999999998</v>
          </cell>
        </row>
        <row r="743">
          <cell r="A743" t="str">
            <v>001.19.00520</v>
          </cell>
          <cell r="B743" t="str">
            <v>Fornecimento e instalação de box para banheiro em perfil de alumínio e acrílico cinza, incl.toalheiro</v>
          </cell>
          <cell r="C743" t="str">
            <v>M2</v>
          </cell>
          <cell r="D743">
            <v>86</v>
          </cell>
        </row>
        <row r="744">
          <cell r="A744" t="str">
            <v>001.19.00540</v>
          </cell>
          <cell r="B744" t="str">
            <v>Fornecimento e instalação de box para banheiro em perfil de alumínio com acrílico fumê,cristal ou ouro velho, incl. toalheiro</v>
          </cell>
          <cell r="C744" t="str">
            <v>M2</v>
          </cell>
          <cell r="D744">
            <v>86</v>
          </cell>
        </row>
        <row r="745">
          <cell r="A745" t="str">
            <v>001.20</v>
          </cell>
          <cell r="B745" t="str">
            <v>PINTURA</v>
          </cell>
        </row>
        <row r="746">
          <cell r="A746" t="str">
            <v>001.20.00020</v>
          </cell>
          <cell r="B746" t="str">
            <v>Pintura Cal (Para Pintura ) Em Paredes e Tetos à 02 demãos, incl. Fixador p/ Cal</v>
          </cell>
          <cell r="C746" t="str">
            <v>M2</v>
          </cell>
          <cell r="D746">
            <v>0.74160000000000004</v>
          </cell>
        </row>
        <row r="747">
          <cell r="A747" t="str">
            <v>001.20.00040</v>
          </cell>
          <cell r="B747" t="str">
            <v>Emassamento de Parede Interna ou Forro Com Massa Corrida à Base de PVA  1ª Linha com Duas Demãos</v>
          </cell>
          <cell r="C747" t="str">
            <v>M2</v>
          </cell>
          <cell r="D747">
            <v>4.0425000000000004</v>
          </cell>
        </row>
        <row r="748">
          <cell r="A748" t="str">
            <v>001.20.00060</v>
          </cell>
          <cell r="B748" t="str">
            <v>Emassamento de Parede Interna, Externa ou Forro Com Massa Corrida  Acrílica  1ª Linha com Duas Demãos</v>
          </cell>
          <cell r="C748" t="str">
            <v>M2</v>
          </cell>
          <cell r="D748">
            <v>6.8258999999999999</v>
          </cell>
        </row>
        <row r="749">
          <cell r="A749" t="str">
            <v>001.20.00080</v>
          </cell>
          <cell r="B749" t="str">
            <v>Emassamento de Esquadria de Madeira, Externa ou Interna e Forro Com Massa Corrida  Para Madeira (1ª Linha)  com Duas Demãos</v>
          </cell>
          <cell r="C749" t="str">
            <v>M2</v>
          </cell>
          <cell r="D749">
            <v>4.6976000000000004</v>
          </cell>
        </row>
        <row r="750">
          <cell r="A750" t="str">
            <v>001.20.00100</v>
          </cell>
          <cell r="B750" t="str">
            <v>Pintura Em Selador Acrilico Pigmentado (1ª Linha ) Sobre Superfície Rebocada, uma demão, aplicado a rolo de lã</v>
          </cell>
          <cell r="C750" t="str">
            <v>M2</v>
          </cell>
          <cell r="D750">
            <v>1.2310000000000001</v>
          </cell>
        </row>
        <row r="751">
          <cell r="A751" t="str">
            <v>001.20.00120</v>
          </cell>
          <cell r="B751" t="str">
            <v>Pintura Em Látex PVA (1ª Linha Renner ou Suvinil) Sobre Superfície Perfeitamente Emassada, duas demãos</v>
          </cell>
          <cell r="C751" t="str">
            <v>M2</v>
          </cell>
          <cell r="D751">
            <v>2.6509</v>
          </cell>
        </row>
        <row r="752">
          <cell r="A752" t="str">
            <v>001.20.00140</v>
          </cell>
          <cell r="B752" t="str">
            <v>Pintura Em Látex PVA (1ª Linha Renner ou Suvinil) Em Superfície Rebocada Executada Incluso Limpeza e Lixamento Preliminar , 01 Demão de Selador Acrílico Pigmentado, 02 Demãos de Látex  PVA</v>
          </cell>
          <cell r="C752" t="str">
            <v>M2</v>
          </cell>
          <cell r="D752">
            <v>3.8874</v>
          </cell>
        </row>
        <row r="753">
          <cell r="A753" t="str">
            <v>001.20.00160</v>
          </cell>
          <cell r="B753" t="str">
            <v>Pintura Em Látex Acrílica (1ª Linha Renner ou Suvinil) Sobre Superfície Perfeitamente Emassada, duas demãos</v>
          </cell>
          <cell r="C753" t="str">
            <v>M2</v>
          </cell>
          <cell r="D753">
            <v>2.8126000000000002</v>
          </cell>
        </row>
        <row r="754">
          <cell r="A754" t="str">
            <v>001.20.00180</v>
          </cell>
          <cell r="B754" t="str">
            <v>Pintura Em Látex Acrílico (1ª Linha Renner ou Suvinil) Em Superfície Rebocada Executada Incluso Limpeza e Lixamento Preliminar , 01 Demão de Fundo Preparador de Superfície a Base de Água, 02 Demãos de Látex  PVA</v>
          </cell>
          <cell r="C754" t="str">
            <v>M2</v>
          </cell>
          <cell r="D754">
            <v>4.0491000000000001</v>
          </cell>
        </row>
        <row r="755">
          <cell r="A755" t="str">
            <v>001.20.00200</v>
          </cell>
          <cell r="B755" t="str">
            <v>Textura Acrílica (1ªLinha) em Parede Externa ou Interna, incl. Aplicação de Fundo Preparador de Superfície Base de Água</v>
          </cell>
          <cell r="C755" t="str">
            <v>M2</v>
          </cell>
          <cell r="D755">
            <v>6.3334999999999999</v>
          </cell>
        </row>
        <row r="756">
          <cell r="A756" t="str">
            <v>001.20.00220</v>
          </cell>
          <cell r="B756" t="str">
            <v>Pintura em esquadria de ferro com esmalte sintético (1ª linha Renner, Suvinil ou Ipiranga), inclusive lixamento uma demão de zarcão laranja, correções de imperfeições e 02 demãos de tinta base de esmalte, pintura executada com trincha</v>
          </cell>
          <cell r="C756" t="str">
            <v>M2</v>
          </cell>
          <cell r="D756">
            <v>8.8028999999999993</v>
          </cell>
        </row>
        <row r="757">
          <cell r="A757" t="str">
            <v>001.20.00240</v>
          </cell>
          <cell r="B757" t="str">
            <v>Pintura em esquadria de ferro com esmalte sintético (1ª linha Renner, Suvinil ou Ipiranga), inclusive lixamento uma demão de zarcão laranja, correções de imperfeições e 02 demãos de tinta base de esmalte, pintura executada com compressor e pistola</v>
          </cell>
          <cell r="C757" t="str">
            <v>M2</v>
          </cell>
          <cell r="D757">
            <v>7.8749000000000002</v>
          </cell>
        </row>
        <row r="758">
          <cell r="A758" t="str">
            <v>001.20.00260</v>
          </cell>
          <cell r="B758" t="str">
            <v>Pintura em Esmalte Sintético (1ª Linha Renner, Suvinil ou Ipiranga) sobre Esquadria de Madeira, Incl. Lixamento Preliminar, Emassamento Com Massa Para Madeira (1ª Linha Int ou Ext - Renner, Suvinil ou Ipiranga), Aplicação de Esmalte Sintético 02 Demão</v>
          </cell>
          <cell r="C758" t="str">
            <v>M2</v>
          </cell>
          <cell r="D758">
            <v>9.5360999999999994</v>
          </cell>
        </row>
        <row r="759">
          <cell r="A759" t="str">
            <v>001.20.00280</v>
          </cell>
          <cell r="B759" t="str">
            <v>Pintura em Esmalte Sintético (1ª Linha Renner, Suvinil ou Ipiranga) sobre Esquadria de Madeira, Incl. Lixamento Preliminar, Aplicação de Esmalte Sintético 02 Demão</v>
          </cell>
          <cell r="C759" t="str">
            <v>M2</v>
          </cell>
          <cell r="D759">
            <v>7.3345000000000002</v>
          </cell>
        </row>
        <row r="760">
          <cell r="A760" t="str">
            <v>001.20.00300</v>
          </cell>
          <cell r="B760" t="str">
            <v>Pintura em estrutura metálica com esmalte incl. limpeza com escova de aço e duas demãos de zarcão</v>
          </cell>
          <cell r="C760" t="str">
            <v>M2</v>
          </cell>
          <cell r="D760">
            <v>4.2843999999999998</v>
          </cell>
        </row>
        <row r="761">
          <cell r="A761" t="str">
            <v>001.20.00320</v>
          </cell>
          <cell r="B761" t="str">
            <v>Pintura Com Esmalte Sintético (1ª Linha Renner, Suvinil ou Ipiranga) em Paredes, incl. lixamento Preliminar, 01 Demão de Fundo Preparador a Base de Água, 02 Demãos de Esmalte Sintético, Aplicação à Rolo</v>
          </cell>
          <cell r="C761" t="str">
            <v>M2</v>
          </cell>
          <cell r="D761">
            <v>5.1993</v>
          </cell>
        </row>
        <row r="762">
          <cell r="A762" t="str">
            <v>001.20.00340</v>
          </cell>
          <cell r="B762" t="str">
            <v>Pintura Com Esmalte Sintético (1ª Linha Renner, Suvinil ou Ipiranga) em Paredes, incl. lixamento Preliminar, Retoque de Massa Pva, 01 Demão de Fundo Preparador a Base de Água, 02 Demãos de Esmalte Sintético, Aplicação à Rolo</v>
          </cell>
          <cell r="C762" t="str">
            <v>M2</v>
          </cell>
          <cell r="D762">
            <v>6.1565000000000003</v>
          </cell>
        </row>
        <row r="763">
          <cell r="A763" t="str">
            <v>001.20.00360</v>
          </cell>
          <cell r="B763" t="str">
            <v>Envernizamento de Esquadrias, Forros ou Peças de Madeira Com Verniz Tipo Marítimo, incl. Lixamento Preliminar, 03 Demãos de Verniz sendo que a Primeira a Diluição Deverá Ser 30% a 50%, Aplicação à Rolo</v>
          </cell>
          <cell r="C763" t="str">
            <v>M2</v>
          </cell>
          <cell r="D763">
            <v>4.9402999999999997</v>
          </cell>
        </row>
        <row r="764">
          <cell r="A764" t="str">
            <v>001.20.00380</v>
          </cell>
          <cell r="B764" t="str">
            <v>Envernizamento Com Resina à Base de Água (Hidro-repelente) em Superfícies Tais Como Concreto Aparente, Reboco, Tijolos à Vista e Granito, incl. Lixamento Preliminar, 03 Demãos de Resina,  Aplicado à Rolo</v>
          </cell>
          <cell r="C764" t="str">
            <v>M2</v>
          </cell>
          <cell r="D764">
            <v>4.4527999999999999</v>
          </cell>
        </row>
        <row r="765">
          <cell r="A765" t="str">
            <v>001.20.00400</v>
          </cell>
          <cell r="B765" t="str">
            <v>Pintura c/nata de cimento</v>
          </cell>
          <cell r="C765" t="str">
            <v>M2</v>
          </cell>
          <cell r="D765">
            <v>1.9988999999999999</v>
          </cell>
        </row>
        <row r="766">
          <cell r="A766" t="str">
            <v>001.20.00420</v>
          </cell>
          <cell r="B766" t="str">
            <v>Pintura Sobre Piso na Cor Cinza, Verde, Amarelo ou Azul, Sobre Pisos Cimentados, Calçadas e Quadras Poliesportivas, incl Limpeza Preliminar, 02 Demãos</v>
          </cell>
          <cell r="C766" t="str">
            <v>M2</v>
          </cell>
          <cell r="D766">
            <v>3.7498</v>
          </cell>
        </row>
        <row r="767">
          <cell r="A767" t="str">
            <v>001.20.00440</v>
          </cell>
          <cell r="B767" t="str">
            <v>Pintura de marcação da quadra de esportes c/tinta especial (conf.especificação da cbd) inclusive preparo da superfície (larg. 5.00 cm)</v>
          </cell>
          <cell r="C767" t="str">
            <v>ML</v>
          </cell>
          <cell r="D767">
            <v>4.2465000000000002</v>
          </cell>
        </row>
        <row r="768">
          <cell r="A768" t="str">
            <v>001.20.00460</v>
          </cell>
          <cell r="B768" t="str">
            <v>Pintura de marcação do campo de futebol a cal inclusive preparação do terreno largura 10 cm (conf. especif.do dop)</v>
          </cell>
          <cell r="C768" t="str">
            <v>ML</v>
          </cell>
          <cell r="D768">
            <v>3.1240000000000001</v>
          </cell>
        </row>
        <row r="769">
          <cell r="A769" t="str">
            <v>001.20.00480</v>
          </cell>
          <cell r="B769" t="str">
            <v>Demarcação de faixa com tinta acrílica especial - largura 10.00 cm Para Estacionamentos, Incl. Limpeza Preliminar</v>
          </cell>
          <cell r="C769" t="str">
            <v>ML</v>
          </cell>
          <cell r="D769">
            <v>5.4679000000000002</v>
          </cell>
        </row>
        <row r="770">
          <cell r="A770" t="str">
            <v>001.20.00500</v>
          </cell>
          <cell r="B770" t="str">
            <v>Resina Para Piso Granilite a Base Solvente, Incl. Limpeza Preliminar, 02 Demãos</v>
          </cell>
          <cell r="C770" t="str">
            <v>M2</v>
          </cell>
          <cell r="D770">
            <v>2.9098999999999999</v>
          </cell>
        </row>
        <row r="771">
          <cell r="A771" t="str">
            <v>001.20.00520</v>
          </cell>
          <cell r="B771" t="str">
            <v>Pintura Em Concreto Aparente Com Silicone - Agua Repelente - , incl Limpeza, à 02 Demãos</v>
          </cell>
          <cell r="C771" t="str">
            <v>M2</v>
          </cell>
          <cell r="D771">
            <v>3.0579999999999998</v>
          </cell>
        </row>
        <row r="772">
          <cell r="A772" t="str">
            <v>001.20.00540</v>
          </cell>
          <cell r="B772" t="str">
            <v>Pintura Epóxi em Piso a Duas Demãos Sobre Superfície Rebocada, incl Limpeza da superfície</v>
          </cell>
          <cell r="C772" t="str">
            <v>M2</v>
          </cell>
          <cell r="D772">
            <v>9.6020000000000003</v>
          </cell>
        </row>
        <row r="773">
          <cell r="A773" t="str">
            <v>001.20.00560</v>
          </cell>
          <cell r="B773" t="str">
            <v>Pintura Epóxi em Piscina ou Área Molhada à Duas Demãos Sobre Superfície Rebocada, incl preparação da superfície</v>
          </cell>
          <cell r="C773" t="str">
            <v>M2</v>
          </cell>
          <cell r="D773">
            <v>11.5161</v>
          </cell>
        </row>
        <row r="774">
          <cell r="A774" t="str">
            <v>001.20.00580</v>
          </cell>
          <cell r="B774" t="str">
            <v>Demarcação de Faixa Com Tinta Epóxi em Pisos, à Duas Demãos, Incl. Preparo da Superfície</v>
          </cell>
          <cell r="C774" t="str">
            <v>ML</v>
          </cell>
          <cell r="D774">
            <v>4.1581000000000001</v>
          </cell>
        </row>
        <row r="775">
          <cell r="A775" t="str">
            <v>001.20.00600</v>
          </cell>
          <cell r="B775" t="str">
            <v>Demarcação de Faixa Com Tinta Epóxi em Piscinas ou Áreas Molhadas, à Duas Demãos, Incl. Preparo da Superfície</v>
          </cell>
          <cell r="C775" t="str">
            <v>ML</v>
          </cell>
          <cell r="D775">
            <v>4.1581000000000001</v>
          </cell>
        </row>
        <row r="776">
          <cell r="A776" t="str">
            <v>001.20.00620</v>
          </cell>
          <cell r="B776" t="str">
            <v>Pintura de Conservação Em Parede ou Teto Sem Retoque de Massa, Com Látex Pva(1ª Linha Renner ou Suvinil) , Incl. Lixamento e Limpeza Preliminar, aplicação fundo preparador base água, Aplicação de Latex Pva à 02 Demãos</v>
          </cell>
          <cell r="C776" t="str">
            <v>M2</v>
          </cell>
          <cell r="D776">
            <v>4.1877000000000004</v>
          </cell>
        </row>
        <row r="777">
          <cell r="A777" t="str">
            <v>001.20.00640</v>
          </cell>
          <cell r="B777" t="str">
            <v>Pintura de Conservação Em Parede ou Teto Sem Retoque de Massa, Com Látex Acrilico(1ª Linha Renner ou Suvinil) , Incl. Lixamento e Limpeza Preliminar, aplicação fundo preparador base água, Aplicação de Latex Pva à 02 Demãos</v>
          </cell>
          <cell r="C777" t="str">
            <v>M2</v>
          </cell>
          <cell r="D777">
            <v>4.3494000000000002</v>
          </cell>
        </row>
        <row r="778">
          <cell r="A778" t="str">
            <v>001.20.00660</v>
          </cell>
          <cell r="B778" t="str">
            <v>Pintura de Conservação Em Parede ou Teto Com Retoque de Massa, Com Látex Pva(1ª Linha Renner ou Suvinil) , Incl. Lixamento e Limpeza Preliminar, Retoque de massa, aplicação fundo preparador base água, Aplicação de Latex Pva à 02 Demãos</v>
          </cell>
          <cell r="C778" t="str">
            <v>M2</v>
          </cell>
          <cell r="D778">
            <v>5.6437999999999997</v>
          </cell>
        </row>
        <row r="779">
          <cell r="A779" t="str">
            <v>001.20.00680</v>
          </cell>
          <cell r="B779" t="str">
            <v>Pintura de conservação em parede ou teto com retoque de massa, com tinta latéx acrilílico(1ª Linha Renner ou Suvinil) à duas demãos, incl. aplicação fundo preparador base solvente</v>
          </cell>
          <cell r="C779" t="str">
            <v>M2</v>
          </cell>
          <cell r="D779">
            <v>5.4901999999999997</v>
          </cell>
        </row>
        <row r="780">
          <cell r="A780" t="str">
            <v>001.20.00700</v>
          </cell>
          <cell r="B780" t="str">
            <v>Pintura de conservação em esquadria metálica com tinta esmalte à uma demão com retoque da pintura de base (zarcão ou grafite)</v>
          </cell>
          <cell r="C780" t="str">
            <v>M2</v>
          </cell>
          <cell r="D780">
            <v>4.0801999999999996</v>
          </cell>
        </row>
        <row r="781">
          <cell r="A781" t="str">
            <v>001.20.00720</v>
          </cell>
          <cell r="B781" t="str">
            <v>Pintura de conservação em esquadria metálica com tinta esmalte a duas demãos com retoque da pintura de base (zarcão ou grafite)</v>
          </cell>
          <cell r="C781" t="str">
            <v>M2</v>
          </cell>
          <cell r="D781">
            <v>6.5438999999999998</v>
          </cell>
        </row>
        <row r="782">
          <cell r="A782" t="str">
            <v>001.21</v>
          </cell>
          <cell r="B782" t="str">
            <v>SERVIÇOS COMPLEMENTARES</v>
          </cell>
        </row>
        <row r="783">
          <cell r="A783" t="str">
            <v>001.21.00020</v>
          </cell>
          <cell r="B783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783" t="str">
            <v>UN</v>
          </cell>
          <cell r="D783">
            <v>118.6</v>
          </cell>
        </row>
        <row r="784">
          <cell r="A784" t="str">
            <v>001.21.00040</v>
          </cell>
          <cell r="B784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784" t="str">
            <v>UN</v>
          </cell>
          <cell r="D784">
            <v>111.4542</v>
          </cell>
        </row>
        <row r="785">
          <cell r="A785" t="str">
            <v>001.21.00060</v>
          </cell>
          <cell r="B785" t="str">
            <v>Recuperação de quadro negro com retoque de massa (base de óleo) lixamento e polimento com lixa de água e pintura com duas demãos de tinta verde opaca especial</v>
          </cell>
          <cell r="C785" t="str">
            <v>UN</v>
          </cell>
          <cell r="D785">
            <v>54.323999999999998</v>
          </cell>
        </row>
        <row r="786">
          <cell r="A786" t="str">
            <v>001.21.00080</v>
          </cell>
          <cell r="B786" t="str">
            <v>Fornecimento e instalação de quadro negro de madeira compensada 6 mm de espessura incl.moldura e porta giz</v>
          </cell>
          <cell r="C786" t="str">
            <v>M2</v>
          </cell>
          <cell r="D786">
            <v>39.980899999999998</v>
          </cell>
        </row>
        <row r="787">
          <cell r="A787" t="str">
            <v>001.21.00100</v>
          </cell>
          <cell r="B787" t="str">
            <v>Fornecimento e instalação de porta giz de madeira c/guarnição</v>
          </cell>
          <cell r="C787" t="str">
            <v>ML</v>
          </cell>
          <cell r="D787">
            <v>3.6865000000000001</v>
          </cell>
        </row>
        <row r="788">
          <cell r="A788" t="str">
            <v>001.21.00120</v>
          </cell>
          <cell r="B788" t="str">
            <v>Fornecimento e instalação de placa de inauguração para grupo escolar (25.00x40.00) cm</v>
          </cell>
          <cell r="C788" t="str">
            <v>UN</v>
          </cell>
          <cell r="D788">
            <v>154.78290000000001</v>
          </cell>
        </row>
        <row r="789">
          <cell r="A789" t="str">
            <v>001.21.00140</v>
          </cell>
          <cell r="B789" t="str">
            <v>Fornecimento e instalação de placa de inauguração para cadeias públicas (36.50x47.00) cm</v>
          </cell>
          <cell r="C789" t="str">
            <v>UN</v>
          </cell>
          <cell r="D789">
            <v>204.78290000000001</v>
          </cell>
        </row>
        <row r="790">
          <cell r="A790" t="str">
            <v>001.21.00160</v>
          </cell>
          <cell r="B790" t="str">
            <v>Fornecimento e instalação de placa de inauguração p/ escritório regional urbano da prodeagro - 25x40cm</v>
          </cell>
          <cell r="C790" t="str">
            <v>UN</v>
          </cell>
          <cell r="D790">
            <v>1354.7828999999999</v>
          </cell>
        </row>
        <row r="791">
          <cell r="A791" t="str">
            <v>001.21.00180</v>
          </cell>
          <cell r="B791" t="str">
            <v>Fornecimento e instalação de placa de inauguração em alumínio fundido 65.00x75.00cm</v>
          </cell>
          <cell r="C791" t="str">
            <v>UN</v>
          </cell>
          <cell r="D791">
            <v>403.92020000000002</v>
          </cell>
        </row>
        <row r="792">
          <cell r="A792" t="str">
            <v>001.21.00200</v>
          </cell>
          <cell r="B792" t="str">
            <v>Fornecimento e instalação de mastro p/bandeira em poste cônico inclusive pintura e pertences altura livre 5.00 m</v>
          </cell>
          <cell r="C792" t="str">
            <v>UN</v>
          </cell>
          <cell r="D792">
            <v>202.25630000000001</v>
          </cell>
        </row>
        <row r="793">
          <cell r="A793" t="str">
            <v>001.21.00220</v>
          </cell>
          <cell r="B793" t="str">
            <v>Fornecimento e instalação de mastro p/bandeira em cano galvanizado diâmetro 3 pol inclusive pintura e pertences altura livre 5 m</v>
          </cell>
          <cell r="C793" t="str">
            <v>UN</v>
          </cell>
          <cell r="D793">
            <v>371.86180000000002</v>
          </cell>
        </row>
        <row r="794">
          <cell r="A794" t="str">
            <v>001.21.00240</v>
          </cell>
          <cell r="B794" t="str">
            <v>Fornecimento e instalação de mastro p/bandeira constituído de 3 postes de cano galvanizado diâmetro 3 pol conforme detalhe do dop</v>
          </cell>
          <cell r="C794" t="str">
            <v>CJ</v>
          </cell>
          <cell r="D794">
            <v>1931.3364999999999</v>
          </cell>
        </row>
        <row r="795">
          <cell r="A795" t="str">
            <v>001.21.00260</v>
          </cell>
          <cell r="B795" t="str">
            <v>Fornecimento e instalação de trave p/futebol de salão incluindo pintura, rede de nylon conforme detalhe dop</v>
          </cell>
          <cell r="C795" t="str">
            <v>CJ</v>
          </cell>
          <cell r="D795">
            <v>733.25639999999999</v>
          </cell>
        </row>
        <row r="796">
          <cell r="A796" t="str">
            <v>001.21.00280</v>
          </cell>
          <cell r="B796" t="str">
            <v>Fornecimento e instalação de suporte p/tabela de basquete em treliçado inclusive pilares de concreto armado (aparente), fundação, pintura (treliças) conforme det. do dop</v>
          </cell>
          <cell r="C796" t="str">
            <v>UN</v>
          </cell>
          <cell r="D796">
            <v>2324.3766999999998</v>
          </cell>
        </row>
        <row r="797">
          <cell r="A797" t="str">
            <v>001.21.00300</v>
          </cell>
          <cell r="B797" t="str">
            <v>Fornecimento e instalação de suporte p/voley em cano galvanizado diâmetro 3 pol inclusive pintura dos mastros, catraca, rede e demais pertences ( 02 postes)</v>
          </cell>
          <cell r="C797" t="str">
            <v>CJ</v>
          </cell>
          <cell r="D797">
            <v>455.35939999999999</v>
          </cell>
        </row>
        <row r="798">
          <cell r="A798" t="str">
            <v>001.21.00320</v>
          </cell>
          <cell r="B798" t="str">
            <v>Execução de Arquibancada em Estrutura Mista (Concreto Armado e Alvenaria), 02 Degraus Conf. Det. SINFRA</v>
          </cell>
          <cell r="C798" t="str">
            <v>ML</v>
          </cell>
          <cell r="D798">
            <v>358.97809999999998</v>
          </cell>
        </row>
        <row r="799">
          <cell r="A799" t="str">
            <v>001.21.00340</v>
          </cell>
          <cell r="B799" t="str">
            <v>Execução de Arquibancada em Estrutura Mista (Concreto Armado e Alvenaria), 03 Degraus Conf. Det. SINFRA</v>
          </cell>
          <cell r="C799" t="str">
            <v>ML</v>
          </cell>
          <cell r="D799">
            <v>487.7063</v>
          </cell>
        </row>
        <row r="800">
          <cell r="A800" t="str">
            <v>001.21.00360</v>
          </cell>
          <cell r="B800" t="str">
            <v>Fornecimento e instalação de bancada seca em ardósia polida  1.50 x 0.80</v>
          </cell>
          <cell r="C800" t="str">
            <v>UN</v>
          </cell>
          <cell r="D800">
            <v>180.6215</v>
          </cell>
        </row>
        <row r="801">
          <cell r="A801" t="str">
            <v>001.21.00380</v>
          </cell>
          <cell r="B801" t="str">
            <v>Fornecimento e instalação de bancada seca em granito polido</v>
          </cell>
          <cell r="C801" t="str">
            <v>M2</v>
          </cell>
          <cell r="D801">
            <v>213.24529999999999</v>
          </cell>
        </row>
        <row r="802">
          <cell r="A802" t="str">
            <v>001.21.00400</v>
          </cell>
          <cell r="B802" t="str">
            <v>Fornecimento e assentamento de revestimento externo com retalhos de pedra de mao</v>
          </cell>
          <cell r="C802" t="str">
            <v>M2</v>
          </cell>
          <cell r="D802">
            <v>10.087999999999999</v>
          </cell>
        </row>
        <row r="803">
          <cell r="A803" t="str">
            <v>001.21.00420</v>
          </cell>
          <cell r="B803" t="str">
            <v>Fornecimento e instalação de armário sob pia em fórmica</v>
          </cell>
          <cell r="C803" t="str">
            <v>M2</v>
          </cell>
          <cell r="D803">
            <v>225</v>
          </cell>
        </row>
        <row r="804">
          <cell r="A804" t="str">
            <v>001.21.00440</v>
          </cell>
          <cell r="B804" t="str">
            <v>Fornecimento e instalação de armário em madeira aparente aparelhada e tratada</v>
          </cell>
          <cell r="C804" t="str">
            <v>M2</v>
          </cell>
          <cell r="D804">
            <v>114.01860000000001</v>
          </cell>
        </row>
        <row r="805">
          <cell r="A805" t="str">
            <v>001.21.00460</v>
          </cell>
          <cell r="B805" t="str">
            <v>Fornecimento e instalação de armário em alvenaria com prateleiras de madeira aparelhada (2,40x0,60x3,00)m</v>
          </cell>
          <cell r="C805" t="str">
            <v>UN</v>
          </cell>
          <cell r="D805">
            <v>288.42770000000002</v>
          </cell>
        </row>
        <row r="806">
          <cell r="A806" t="str">
            <v>001.21.00480</v>
          </cell>
          <cell r="B806" t="str">
            <v>Fornecimento e instalação de balcão de madeira conf. projeto 12.20 x 0.60 x 1.00 m</v>
          </cell>
          <cell r="C806" t="str">
            <v>UN</v>
          </cell>
          <cell r="D806">
            <v>969.9</v>
          </cell>
        </row>
        <row r="807">
          <cell r="A807" t="str">
            <v>001.21.00500</v>
          </cell>
          <cell r="B807" t="str">
            <v>Fornecimento e instalação de exaustor elétrico com d=50cm 1cv</v>
          </cell>
          <cell r="C807" t="str">
            <v>UN</v>
          </cell>
          <cell r="D807">
            <v>161.92019999999999</v>
          </cell>
        </row>
        <row r="808">
          <cell r="A808" t="str">
            <v>001.21.00520</v>
          </cell>
          <cell r="B808" t="str">
            <v>Fornecimento e instalação de mola p/ porta tipo vai-vem</v>
          </cell>
          <cell r="C808" t="str">
            <v>UN</v>
          </cell>
          <cell r="D808">
            <v>33.331099999999999</v>
          </cell>
        </row>
        <row r="809">
          <cell r="A809" t="str">
            <v>001.21.00540</v>
          </cell>
          <cell r="B809" t="str">
            <v>Fornecimento e instalação  de banca ou tampo de ardósia natural cor preta tipo on c/ resinex</v>
          </cell>
          <cell r="C809" t="str">
            <v>M2</v>
          </cell>
          <cell r="D809">
            <v>110.0063</v>
          </cell>
        </row>
        <row r="810">
          <cell r="A810" t="str">
            <v>001.21.00560</v>
          </cell>
          <cell r="B810" t="str">
            <v>Fornecimento e instalação de banca ou tampo em ardósia polida esp. 3cm</v>
          </cell>
          <cell r="C810" t="str">
            <v>M2</v>
          </cell>
          <cell r="D810">
            <v>108.2801</v>
          </cell>
        </row>
        <row r="811">
          <cell r="A811" t="str">
            <v>001.21.00580</v>
          </cell>
          <cell r="B811" t="str">
            <v>Fornecimento e instalação de portão em cano galvanizado 2 pol e tela galvanizada malha 2cm</v>
          </cell>
          <cell r="C811" t="str">
            <v>M2</v>
          </cell>
          <cell r="D811">
            <v>100.1602</v>
          </cell>
        </row>
        <row r="812">
          <cell r="A812" t="str">
            <v>001.21.00600</v>
          </cell>
          <cell r="B812" t="str">
            <v>Fornecimento e instalação de bancada, tampo ou balcão em granito cinza polido, espessura 2.00 cm</v>
          </cell>
          <cell r="C812" t="str">
            <v>M2</v>
          </cell>
          <cell r="D812">
            <v>135.2801</v>
          </cell>
        </row>
        <row r="813">
          <cell r="A813" t="str">
            <v>001.21.00620</v>
          </cell>
          <cell r="B813" t="str">
            <v>Fornecimento e instalação de caixa de concreto pré-moldado para ar condicionado de 10.000 btu</v>
          </cell>
          <cell r="C813" t="str">
            <v>UN</v>
          </cell>
          <cell r="D813">
            <v>54.560200000000002</v>
          </cell>
        </row>
        <row r="814">
          <cell r="A814" t="str">
            <v>001.21.00640</v>
          </cell>
          <cell r="B814" t="str">
            <v>Fornecimento e instalação de bancada em granito cinza polido l=0,60m sobre alvenaria revestida de azulejo branco, exceto cubas (quantificada e orçada na parte hidráulica)</v>
          </cell>
          <cell r="C814" t="str">
            <v>ML</v>
          </cell>
          <cell r="D814">
            <v>141.2115</v>
          </cell>
        </row>
        <row r="815">
          <cell r="A815" t="str">
            <v>001.21.00660</v>
          </cell>
          <cell r="B815" t="str">
            <v>Fornecimento e instalação de balcão de atendimento em madeira l=0,40m e=0,05m apoiado sobre alvenaria aparente de tijolo cerâmico de 21 furos, inclusive passagem pelo balcão</v>
          </cell>
          <cell r="C815" t="str">
            <v>M</v>
          </cell>
          <cell r="D815">
            <v>107.79470000000001</v>
          </cell>
        </row>
        <row r="816">
          <cell r="A816" t="str">
            <v>001.21.00680</v>
          </cell>
          <cell r="B816" t="str">
            <v>Fornecimento e instalação de corrimao em tubo galvanizado 1"""""""""""""""" chumbado no piso h=1,00m pintado com tinta à óleo 02 demãos</v>
          </cell>
          <cell r="C816" t="str">
            <v>M</v>
          </cell>
          <cell r="D816">
            <v>55.292400000000001</v>
          </cell>
        </row>
        <row r="817">
          <cell r="A817" t="str">
            <v>001.21.00700</v>
          </cell>
          <cell r="B817" t="str">
            <v>Fornecimento e instalação de corrimão em tubo galvanizado 2"""""""""""""""" chumbado no piso h=1.00 m pintado com tinta à óleo 02 demãos</v>
          </cell>
          <cell r="C817" t="str">
            <v>ML</v>
          </cell>
          <cell r="D817">
            <v>99.882400000000004</v>
          </cell>
        </row>
        <row r="818">
          <cell r="A818" t="str">
            <v>001.21.00720</v>
          </cell>
          <cell r="B818" t="str">
            <v>Fornecimento e instalação de caixa de concreto pré-moldado para ar condicionado de 7.000 btu</v>
          </cell>
          <cell r="C818" t="str">
            <v>UN</v>
          </cell>
          <cell r="D818">
            <v>50.560200000000002</v>
          </cell>
        </row>
        <row r="819">
          <cell r="A819" t="str">
            <v>001.21.00740</v>
          </cell>
          <cell r="B819" t="str">
            <v>Fornecimento e instalação de caixa de concreto pré-moldado para ar condicionado de 10.000 btu</v>
          </cell>
          <cell r="C819" t="str">
            <v>UN</v>
          </cell>
          <cell r="D819">
            <v>54.560200000000002</v>
          </cell>
        </row>
        <row r="820">
          <cell r="A820" t="str">
            <v>001.21.00760</v>
          </cell>
          <cell r="B820" t="str">
            <v>Fornecimento e instalação de caixa de concreto pré-moldado para ar condicionado de 20.000 btu</v>
          </cell>
          <cell r="C820" t="str">
            <v>UN</v>
          </cell>
          <cell r="D820">
            <v>68.560199999999995</v>
          </cell>
        </row>
        <row r="821">
          <cell r="A821" t="str">
            <v>001.22</v>
          </cell>
          <cell r="B821" t="str">
            <v>URBANIZAÇÃO</v>
          </cell>
        </row>
        <row r="822">
          <cell r="A822" t="str">
            <v>001.22.00020</v>
          </cell>
          <cell r="B822" t="str">
            <v>Fornecimento e Plantio de Agave Comum (pequena), com manutenção por 60 dias com irrigação, pulverização, poda e substituição de mudas mortas</v>
          </cell>
          <cell r="C822" t="str">
            <v>UN</v>
          </cell>
          <cell r="D822">
            <v>7.3860000000000001</v>
          </cell>
        </row>
        <row r="823">
          <cell r="A823" t="str">
            <v>001.22.00040</v>
          </cell>
          <cell r="B823" t="str">
            <v>Fornecimento e Plantio de Agave Comum (média), com manutenção por 60 dias com irrigação, pulverização, poda e substituição de mudas mortas</v>
          </cell>
          <cell r="C823" t="str">
            <v>UN</v>
          </cell>
          <cell r="D823">
            <v>14.2989</v>
          </cell>
        </row>
        <row r="824">
          <cell r="A824" t="str">
            <v>001.22.00060</v>
          </cell>
          <cell r="B824" t="str">
            <v>Fornecimento e Plantio de Agave Comum (grande), com manutenção por 60 dias com irrigação, pulverização, poda e substituição de mudas mortas</v>
          </cell>
          <cell r="C824" t="str">
            <v>UN</v>
          </cell>
          <cell r="D824">
            <v>20.1052</v>
          </cell>
        </row>
        <row r="825">
          <cell r="A825" t="str">
            <v>001.22.00080</v>
          </cell>
          <cell r="B825" t="str">
            <v>Fornecimento e Plantio de Areca (pequena), com manutenção por 60 dias com irrigação, pulverização, poda e substituição de mudas mortas</v>
          </cell>
          <cell r="C825" t="str">
            <v>UN</v>
          </cell>
          <cell r="D825">
            <v>10.385999999999999</v>
          </cell>
        </row>
        <row r="826">
          <cell r="A826" t="str">
            <v>001.22.00100</v>
          </cell>
          <cell r="B826" t="str">
            <v>Fornecimento e Plantio de Areca (média), com manutenção por 60 dias com irrigação, pulverização, poda e substituição de mudas mortas</v>
          </cell>
          <cell r="C826" t="str">
            <v>UN</v>
          </cell>
          <cell r="D826">
            <v>19.2989</v>
          </cell>
        </row>
        <row r="827">
          <cell r="A827" t="str">
            <v>001.22.00120</v>
          </cell>
          <cell r="B827" t="str">
            <v>Fornecimento e Plantio de Areca (grande), com manutenção por 60 dias com irrigação, pulverização, poda e substituição de mudas mortas</v>
          </cell>
          <cell r="C827" t="str">
            <v>UN</v>
          </cell>
          <cell r="D827">
            <v>30.1052</v>
          </cell>
        </row>
        <row r="828">
          <cell r="A828" t="str">
            <v>001.22.00140</v>
          </cell>
          <cell r="B828" t="str">
            <v>Fornecimento e Plantio de Bauhínia Rosa (pequeno), com manutenção por 60 dias com irrigação, pulverização, poda e substituição de mudas mortas</v>
          </cell>
          <cell r="C828" t="str">
            <v>UN</v>
          </cell>
          <cell r="D828">
            <v>6.0057999999999998</v>
          </cell>
        </row>
        <row r="829">
          <cell r="A829" t="str">
            <v>001.22.00160</v>
          </cell>
          <cell r="B829" t="str">
            <v>Fornecimento e Plantio de Bauhínia Rosa (médio), com manutenção por 60 dias com irrigação, pulverização, poda e substituição de mudas mortas</v>
          </cell>
          <cell r="C829" t="str">
            <v>UN</v>
          </cell>
          <cell r="D829">
            <v>17.385999999999999</v>
          </cell>
        </row>
        <row r="830">
          <cell r="A830" t="str">
            <v>001.22.00180</v>
          </cell>
          <cell r="B830" t="str">
            <v>Fornecimento e Plantio de Bahuínia Rosa (grande), com manutenção por 60 dias com irrigação, pulverização, poda e substituição de mudas mortas</v>
          </cell>
          <cell r="C830" t="str">
            <v>UN</v>
          </cell>
          <cell r="D830">
            <v>31.712800000000001</v>
          </cell>
        </row>
        <row r="831">
          <cell r="A831" t="str">
            <v>001.22.00200</v>
          </cell>
          <cell r="B831" t="str">
            <v>Fornecimento e Plantio de Biri, com manutenção por 60 dias com irrigação, pulverização, poda e substituição de mudas mortas</v>
          </cell>
          <cell r="C831" t="str">
            <v>UN</v>
          </cell>
          <cell r="D831">
            <v>7.5057999999999998</v>
          </cell>
        </row>
        <row r="832">
          <cell r="A832" t="str">
            <v>001.22.00220</v>
          </cell>
          <cell r="B832" t="str">
            <v>Fornecimento e Plantio de Chuva de Ouro (pequena), com manutenção por 60 dias com irrigação, pulverização, poda e substituição de mudas mortas</v>
          </cell>
          <cell r="C832" t="str">
            <v>UN</v>
          </cell>
          <cell r="D832">
            <v>7.5057999999999998</v>
          </cell>
        </row>
        <row r="833">
          <cell r="A833" t="str">
            <v>001.22.00240</v>
          </cell>
          <cell r="B833" t="str">
            <v>Fornecimento e Plantio de Chuva de Ouro (média), com manutenção por 60 dias com irrigação, pulverização, poda e substituição de mudas mortas</v>
          </cell>
          <cell r="C833" t="str">
            <v>UN</v>
          </cell>
          <cell r="D833">
            <v>13.3683</v>
          </cell>
        </row>
        <row r="834">
          <cell r="A834" t="str">
            <v>001.22.00260</v>
          </cell>
          <cell r="B834" t="str">
            <v>Fornecimento e Plantio de Chuva de Ouro (grande), com manutenção por 60 dias com irrigação, pulverização, poda e substituição de mudas mortas</v>
          </cell>
          <cell r="C834" t="str">
            <v>UN</v>
          </cell>
          <cell r="D834">
            <v>17.385999999999999</v>
          </cell>
        </row>
        <row r="835">
          <cell r="A835" t="str">
            <v>001.22.00280</v>
          </cell>
          <cell r="B835" t="str">
            <v>Fornecimento e Plantio de Croton (pequena), com manutenção por 60 dias com irrigação, pulverização, poda e substituição de mudas mortas</v>
          </cell>
          <cell r="C835" t="str">
            <v>UN</v>
          </cell>
          <cell r="D835">
            <v>3.5057999999999998</v>
          </cell>
        </row>
        <row r="836">
          <cell r="A836" t="str">
            <v>001.22.00300</v>
          </cell>
          <cell r="B836" t="str">
            <v>Fornecimento e Plantio de Croton (média), com manutenção por 60 dias com irrigação, pulverização, poda e substituição de mudas mortas</v>
          </cell>
          <cell r="C836" t="str">
            <v>UN</v>
          </cell>
          <cell r="D836">
            <v>5.3682999999999996</v>
          </cell>
        </row>
        <row r="837">
          <cell r="A837" t="str">
            <v>001.22.00320</v>
          </cell>
          <cell r="B837" t="str">
            <v>Fornecimento e Plantio de Croton (grande), com manutenção por 60 dias com irrigação, pulverização, poda e substituição de mudas mortas</v>
          </cell>
          <cell r="C837" t="str">
            <v>UN</v>
          </cell>
          <cell r="D837">
            <v>10.385999999999999</v>
          </cell>
        </row>
        <row r="838">
          <cell r="A838" t="str">
            <v>001.22.00340</v>
          </cell>
          <cell r="B838" t="str">
            <v>Fornecimento e Plantio de Dracena Marginata (pequena), com manutenção por 60 dias com irrigação, pulverização, poda e substituição de mudas mortas</v>
          </cell>
          <cell r="C838" t="str">
            <v>UN</v>
          </cell>
          <cell r="D838">
            <v>8.8859999999999992</v>
          </cell>
        </row>
        <row r="839">
          <cell r="A839" t="str">
            <v>001.22.00360</v>
          </cell>
          <cell r="B839" t="str">
            <v>Fornecimento e Plantio de Dracena Marginata (média), com manutenção por 60 dias com irrigação, pulverização, poda e substituição de mudas mortas</v>
          </cell>
          <cell r="C839" t="str">
            <v>UN</v>
          </cell>
          <cell r="D839">
            <v>17.385999999999999</v>
          </cell>
        </row>
        <row r="840">
          <cell r="A840" t="str">
            <v>001.22.00380</v>
          </cell>
          <cell r="B840" t="str">
            <v>Fornecimento e Plantio de Dracena Marginata (grande), com manutenção por 60 dias com irrigação, pulverização, poda e substituição de mudas mortas</v>
          </cell>
          <cell r="C840" t="str">
            <v>UN</v>
          </cell>
          <cell r="D840">
            <v>29.2989</v>
          </cell>
        </row>
        <row r="841">
          <cell r="A841" t="str">
            <v>001.22.00400</v>
          </cell>
          <cell r="B841" t="str">
            <v>Fornecimento e Plantio de Era Forrageira, com manutenção por 60 dias com irrigação, pulverização, poda e substituição de mudas mortas</v>
          </cell>
          <cell r="C841" t="str">
            <v>UN</v>
          </cell>
          <cell r="D841">
            <v>2.0057999999999998</v>
          </cell>
        </row>
        <row r="842">
          <cell r="A842" t="str">
            <v>001.22.00420</v>
          </cell>
          <cell r="B842" t="str">
            <v>Fornecimento e Plantio de Eretrina (média), com manutenção por 60 dias com irrigação, pulverização, poda e substituição de mudas mortas</v>
          </cell>
          <cell r="C842" t="str">
            <v>UN</v>
          </cell>
          <cell r="D842">
            <v>16.368300000000001</v>
          </cell>
        </row>
        <row r="843">
          <cell r="A843" t="str">
            <v>001.22.00440</v>
          </cell>
          <cell r="B843" t="str">
            <v>Fornecimento e Plantio de Hemigrafis Forrageira , com manutenção por 60 dias com irrigação, pulverização, poda e substituição de mudas mortas</v>
          </cell>
          <cell r="C843" t="str">
            <v>UN</v>
          </cell>
          <cell r="D843">
            <v>1.5058</v>
          </cell>
        </row>
        <row r="844">
          <cell r="A844" t="str">
            <v>001.22.00460</v>
          </cell>
          <cell r="B844" t="str">
            <v>Fornecimento e Plantio de Hibisco Bicolor (pequena), com manutenção por 60 dias com irrigação, pulverização, poda e substituição de mudas mortas</v>
          </cell>
          <cell r="C844" t="str">
            <v>UN</v>
          </cell>
          <cell r="D844">
            <v>3.5057999999999998</v>
          </cell>
        </row>
        <row r="845">
          <cell r="A845" t="str">
            <v>001.22.00480</v>
          </cell>
          <cell r="B845" t="str">
            <v>Fornecimento e Plantio de Hibisco Bicolor (média), com manutenção por 60 dias com irrigação, pulverização, poda e substituição de mudas mortas</v>
          </cell>
          <cell r="C845" t="str">
            <v>UN</v>
          </cell>
          <cell r="D845">
            <v>5.3682999999999996</v>
          </cell>
        </row>
        <row r="846">
          <cell r="A846" t="str">
            <v>001.22.00500</v>
          </cell>
          <cell r="B846" t="str">
            <v>Fornecimento e Plantio de Hibisco Bicolor (grande), com manutenção por 60 dias com irrigação, pulverização, poda e substituição de mudas mortas</v>
          </cell>
          <cell r="C846" t="str">
            <v>UN</v>
          </cell>
          <cell r="D846">
            <v>10.385999999999999</v>
          </cell>
        </row>
        <row r="847">
          <cell r="A847" t="str">
            <v>001.22.00520</v>
          </cell>
          <cell r="B847" t="str">
            <v>Fornecimento e Plantio de Ipê Amarelo (pequeno), com manutenção por 60 dias com irrigação, pulverização, poda e substituição de mudas mortas</v>
          </cell>
          <cell r="C847" t="str">
            <v>UN</v>
          </cell>
          <cell r="D847">
            <v>9.3682999999999996</v>
          </cell>
        </row>
        <row r="848">
          <cell r="A848" t="str">
            <v>001.22.00540</v>
          </cell>
          <cell r="B848" t="str">
            <v>Fornecimento e Plantio de Ipê Amarelo (médio), com manutenção por 60 dias com irrigação, pulverização, poda e substituição de mudas mortas</v>
          </cell>
          <cell r="C848" t="str">
            <v>UN</v>
          </cell>
          <cell r="D848">
            <v>14.385999999999999</v>
          </cell>
        </row>
        <row r="849">
          <cell r="A849" t="str">
            <v>001.22.00560</v>
          </cell>
          <cell r="B849" t="str">
            <v>Fornecimento e Plantio de Ipê Amarelo (grande), com manutenção por 60 dias com irrigação, pulverização, poda e substituição de mudas mortas</v>
          </cell>
          <cell r="C849" t="str">
            <v>UN</v>
          </cell>
          <cell r="D849">
            <v>25.1052</v>
          </cell>
        </row>
        <row r="850">
          <cell r="A850" t="str">
            <v>001.22.00580</v>
          </cell>
          <cell r="B850" t="str">
            <v>Fornecimento e Plantio de Ipê Rosa (pequeno), com manutenção por 60 dias com irrigação, pulverização, poda e substituição de mudas mortas</v>
          </cell>
          <cell r="C850" t="str">
            <v>UN</v>
          </cell>
          <cell r="D850">
            <v>10.385999999999999</v>
          </cell>
        </row>
        <row r="851">
          <cell r="A851" t="str">
            <v>001.22.00600</v>
          </cell>
          <cell r="B851" t="str">
            <v>Fornecimento e Plantio de Ipê Rosa (médio), com manutenção por 60 dias com irrigação, pulverização, poda e substituição de mudas mortas</v>
          </cell>
          <cell r="C851" t="str">
            <v>UN</v>
          </cell>
          <cell r="D851">
            <v>16.2989</v>
          </cell>
        </row>
        <row r="852">
          <cell r="A852" t="str">
            <v>001.22.00620</v>
          </cell>
          <cell r="B852" t="str">
            <v>Fornecimento e Plantio de Ipê Rosa (grande), com manutenção por 60 dias com irrigação, pulverização, poda e substituição de mudas mortas</v>
          </cell>
          <cell r="C852" t="str">
            <v>UN</v>
          </cell>
          <cell r="D852">
            <v>24.431999999999999</v>
          </cell>
        </row>
        <row r="853">
          <cell r="A853" t="str">
            <v>001.22.00640</v>
          </cell>
          <cell r="B853" t="str">
            <v>Fornecimento e Plantio de Ipê Roxo (pequeno), com manutenção por 60 dias com irrigação, pulverização, poda e substituição de mudas mortas</v>
          </cell>
          <cell r="C853" t="str">
            <v>UN</v>
          </cell>
          <cell r="D853">
            <v>10.385999999999999</v>
          </cell>
        </row>
        <row r="854">
          <cell r="A854" t="str">
            <v>001.22.00660</v>
          </cell>
          <cell r="B854" t="str">
            <v>Fornecimento e Plantio de Ipê Roxo (médio), com manutenção por 60 dias com irrigação, pulverização, poda e substituição de mudas mortas</v>
          </cell>
          <cell r="C854" t="str">
            <v>UN</v>
          </cell>
          <cell r="D854">
            <v>17.1052</v>
          </cell>
        </row>
        <row r="855">
          <cell r="A855" t="str">
            <v>001.22.00680</v>
          </cell>
          <cell r="B855" t="str">
            <v>Fornecimento e Plantio de Ipê Roxo (grande), com manutenção por 60 dias com irrigação, pulverização, poda e substituição de mudas mortas</v>
          </cell>
          <cell r="C855" t="str">
            <v>UN</v>
          </cell>
          <cell r="D855">
            <v>25.1052</v>
          </cell>
        </row>
        <row r="856">
          <cell r="A856" t="str">
            <v>001.22.00700</v>
          </cell>
          <cell r="B856" t="str">
            <v>Fornecimento e Plantio de Ixória Híbrida Amarela (pequena), com manutenção por 60 dias com irrigação, pulverização, poda e substituição de mudas mortas</v>
          </cell>
          <cell r="C856" t="str">
            <v>UN</v>
          </cell>
          <cell r="D856">
            <v>3.5057999999999998</v>
          </cell>
        </row>
        <row r="857">
          <cell r="A857" t="str">
            <v>001.22.00720</v>
          </cell>
          <cell r="B857" t="str">
            <v>Fornecimento e Plantio de Ixória Híbrida Amarela (média), com manutenção por 60 dias com irrigação, pulverização, poda e substituição de mudas mortas</v>
          </cell>
          <cell r="C857" t="str">
            <v>UN</v>
          </cell>
          <cell r="D857">
            <v>5.3682999999999996</v>
          </cell>
        </row>
        <row r="858">
          <cell r="A858" t="str">
            <v>001.22.00740</v>
          </cell>
          <cell r="B858" t="str">
            <v>Fornecimento e Plantio de Ixória Híbrida Amarela (grande), com manutenção por 60 dias com irrigação, pulverização, poda e substituição de mudas mortas</v>
          </cell>
          <cell r="C858" t="str">
            <v>UN</v>
          </cell>
          <cell r="D858">
            <v>9.3682999999999996</v>
          </cell>
        </row>
        <row r="859">
          <cell r="A859" t="str">
            <v>001.22.00760</v>
          </cell>
          <cell r="B859" t="str">
            <v>Fornecimento e Plantio de Ixória Híbrida Vermelha (pequena), com manutenção por 60 dias com irrigação, pulverização, poda e substituição de mudas mortas</v>
          </cell>
          <cell r="C859" t="str">
            <v>UN</v>
          </cell>
          <cell r="D859">
            <v>3.5057999999999998</v>
          </cell>
        </row>
        <row r="860">
          <cell r="A860" t="str">
            <v>001.22.00780</v>
          </cell>
          <cell r="B860" t="str">
            <v>Fornecimento e Plantio de Ixória Híbrida Vermelha (média), com manutenção por 60 dias com irrigação, pulverização, poda e substituição de mudas mortas</v>
          </cell>
          <cell r="C860" t="str">
            <v>UN</v>
          </cell>
          <cell r="D860">
            <v>5.3682999999999996</v>
          </cell>
        </row>
        <row r="861">
          <cell r="A861" t="str">
            <v>001.22.00800</v>
          </cell>
          <cell r="B861" t="str">
            <v>Fornecimento e Plantio de Ixória Híbrida Vermelha (grande), com manutenção por 60 dias com irrigação, pulverização, poda e substituição de mudas mortas</v>
          </cell>
          <cell r="C861" t="str">
            <v>UN</v>
          </cell>
          <cell r="D861">
            <v>9.3682999999999996</v>
          </cell>
        </row>
        <row r="862">
          <cell r="A862" t="str">
            <v>001.22.00820</v>
          </cell>
          <cell r="B862" t="str">
            <v>Fornecimento e Plantio de Jacarandá Mimoso (pequeno), com manutenção por 60 dias com irrigação, pulverização, poda e substituição de mudas mortas</v>
          </cell>
          <cell r="C862" t="str">
            <v>UN</v>
          </cell>
          <cell r="D862">
            <v>4.8682999999999996</v>
          </cell>
        </row>
        <row r="863">
          <cell r="A863" t="str">
            <v>001.22.00840</v>
          </cell>
          <cell r="B863" t="str">
            <v>Fornecimento e Plantio de Jacarandá Mimoso (médio), com manutenção por 60 dias com irrigação, pulverização, poda e substituição de mudas mortas</v>
          </cell>
          <cell r="C863" t="str">
            <v>UN</v>
          </cell>
          <cell r="D863">
            <v>16.2989</v>
          </cell>
        </row>
        <row r="864">
          <cell r="A864" t="str">
            <v>001.22.00860</v>
          </cell>
          <cell r="B864" t="str">
            <v>Fornecimento e Plantio de Jacarandá Mimoso (grande), com manutenção por 60 dias com irrigação, pulverização, poda e substituição de mudas mortas</v>
          </cell>
          <cell r="C864" t="str">
            <v>UN</v>
          </cell>
          <cell r="D864">
            <v>23.1052</v>
          </cell>
        </row>
        <row r="865">
          <cell r="A865" t="str">
            <v>001.22.00880</v>
          </cell>
          <cell r="B865" t="str">
            <v>Fornecimento e Plantio de Mini Flamboyant (pequena), com manutenção por 60 dias com irrigação, pulverização, poda e substituição de mudas mortas</v>
          </cell>
          <cell r="C865" t="str">
            <v>UN</v>
          </cell>
          <cell r="D865">
            <v>4.8682999999999996</v>
          </cell>
        </row>
        <row r="866">
          <cell r="A866" t="str">
            <v>001.22.00900</v>
          </cell>
          <cell r="B866" t="str">
            <v>Fornecimento e Plantio de Mini Flamboyant (média), com manutenção por 60 dias com irrigação, pulverização, poda e substituição de mudas mortas</v>
          </cell>
          <cell r="C866" t="str">
            <v>UN</v>
          </cell>
          <cell r="D866">
            <v>7.3860000000000001</v>
          </cell>
        </row>
        <row r="867">
          <cell r="A867" t="str">
            <v>001.22.00920</v>
          </cell>
          <cell r="B867" t="str">
            <v>Fornecimento e Plantio de Mini Ixória (pequena), com manutenção por 60 dias com irrigação, pulverização, poda e substituição de mudas mortas</v>
          </cell>
          <cell r="C867" t="str">
            <v>UN</v>
          </cell>
          <cell r="D867">
            <v>1.6057999999999999</v>
          </cell>
        </row>
        <row r="868">
          <cell r="A868" t="str">
            <v>001.22.00940</v>
          </cell>
          <cell r="B868" t="str">
            <v>Fornecimento e Plantio de Mini Ixória (média), com manutenção por 60 dias com irrigação, pulverização, poda e substituição de mudas mortas</v>
          </cell>
          <cell r="C868" t="str">
            <v>UN</v>
          </cell>
          <cell r="D868">
            <v>4.3682999999999996</v>
          </cell>
        </row>
        <row r="869">
          <cell r="A869" t="str">
            <v>001.22.00960</v>
          </cell>
          <cell r="B869" t="str">
            <v>Fornecimento e Plantio de Mini Ixória (grande), com manutenção por 60 dias com irrigação, pulverização, poda e substituição de mudas mortas</v>
          </cell>
          <cell r="C869" t="str">
            <v>UN</v>
          </cell>
          <cell r="D869">
            <v>7.3860000000000001</v>
          </cell>
        </row>
        <row r="870">
          <cell r="A870" t="str">
            <v>001.22.00980</v>
          </cell>
          <cell r="B870" t="str">
            <v>Fornecimento e Plantio de Musaendra (pequena), com manutenção por 60 dias com irrigação, pulverização, poda e substituição de mudas mortas</v>
          </cell>
          <cell r="C870" t="str">
            <v>UN</v>
          </cell>
          <cell r="D870">
            <v>5.3682999999999996</v>
          </cell>
        </row>
        <row r="871">
          <cell r="A871" t="str">
            <v>001.22.01000</v>
          </cell>
          <cell r="B871" t="str">
            <v>Fornecimento e Plantio de Musaendra (média), com manutenção por 60 dias com irrigação, pulverização, poda e substituição de mudas mortas</v>
          </cell>
          <cell r="C871" t="str">
            <v>UN</v>
          </cell>
          <cell r="D871">
            <v>12.2989</v>
          </cell>
        </row>
        <row r="872">
          <cell r="A872" t="str">
            <v>001.22.01020</v>
          </cell>
          <cell r="B872" t="str">
            <v>Fornecimento e Plantio de Oiti (pequena), com manutenção por 60 dias com irrigação, pulverização, poda e substituição de mudas mortas</v>
          </cell>
          <cell r="C872" t="str">
            <v>UN</v>
          </cell>
          <cell r="D872">
            <v>10.1052</v>
          </cell>
        </row>
        <row r="873">
          <cell r="A873" t="str">
            <v>001.22.01040</v>
          </cell>
          <cell r="B873" t="str">
            <v>Fornecimento e Plantio de Oiti (média), com manutenção por 60 dias com irrigação, pulverização, poda e substituição de mudas mortas</v>
          </cell>
          <cell r="C873" t="str">
            <v>UN</v>
          </cell>
          <cell r="D873">
            <v>22.5244</v>
          </cell>
        </row>
        <row r="874">
          <cell r="A874" t="str">
            <v>001.22.01060</v>
          </cell>
          <cell r="B874" t="str">
            <v>Fornecimento e Plantio de Oiti (grande), com manutenção por 60 dias com irrigação, pulverização, poda e substituição de mudas mortas</v>
          </cell>
          <cell r="C874" t="str">
            <v>UN</v>
          </cell>
          <cell r="D874">
            <v>39.650100000000002</v>
          </cell>
        </row>
        <row r="875">
          <cell r="A875" t="str">
            <v>001.22.01080</v>
          </cell>
          <cell r="B875" t="str">
            <v>Fornecimento e Plantio de Paineira (grande), com manutenção por 60 dias com irrigação, pulverização, poda e substituição de mudas mortas</v>
          </cell>
          <cell r="C875" t="str">
            <v>UN</v>
          </cell>
          <cell r="D875">
            <v>32.5244</v>
          </cell>
        </row>
        <row r="876">
          <cell r="A876" t="str">
            <v>001.22.01100</v>
          </cell>
          <cell r="B876" t="str">
            <v>Fornecimento e Plantio de Palmeira Fênix ( 2.00 mts), com manutenção por 60 dias com irrigação, pulverização, poda e substituição de mudas mortas</v>
          </cell>
          <cell r="C876" t="str">
            <v>UN</v>
          </cell>
          <cell r="D876">
            <v>32.5244</v>
          </cell>
        </row>
        <row r="877">
          <cell r="A877" t="str">
            <v>001.22.01120</v>
          </cell>
          <cell r="B877" t="str">
            <v>Fornecimento e Plantio de Palmeira Fênix ( 3.00 mts), com manutenção por 60 dias com irrigação, pulverização, poda e substituição de mudas mortas</v>
          </cell>
          <cell r="C877" t="str">
            <v>UN</v>
          </cell>
          <cell r="D877">
            <v>54.650100000000002</v>
          </cell>
        </row>
        <row r="878">
          <cell r="A878" t="str">
            <v>001.22.01140</v>
          </cell>
          <cell r="B878" t="str">
            <v>Fornecimento e Plantio de Palmeira Fênix ( 4.00 mts), com manutenção por 60 dias com irrigação, pulverização, poda e substituição de mudas mortas</v>
          </cell>
          <cell r="C878" t="str">
            <v>UN</v>
          </cell>
          <cell r="D878">
            <v>77.875600000000006</v>
          </cell>
        </row>
        <row r="879">
          <cell r="A879" t="str">
            <v>001.22.01160</v>
          </cell>
          <cell r="B879" t="str">
            <v>Fornecimento e Plantio de Palmeira Fênix ( 4.50 mts), com manutenção por 60 dias com irrigação, pulverização, poda e substituição de mudas mortas</v>
          </cell>
          <cell r="C879" t="str">
            <v>UN</v>
          </cell>
          <cell r="D879">
            <v>109.4885</v>
          </cell>
        </row>
        <row r="880">
          <cell r="A880" t="str">
            <v>001.22.01180</v>
          </cell>
          <cell r="B880" t="str">
            <v>Fornecimento e Plantio de Palmeira Imperial ( 1.20 mts), com manutenção por 60 dias com irrigação, pulverização, poda e substituição de mudas mortas</v>
          </cell>
          <cell r="C880" t="str">
            <v>UN</v>
          </cell>
          <cell r="D880">
            <v>20.1052</v>
          </cell>
        </row>
        <row r="881">
          <cell r="A881" t="str">
            <v>001.22.01200</v>
          </cell>
          <cell r="B881" t="str">
            <v>Fornecimento e Plantio de Palmeira Imperial ( 2.00 mts), com manutenção por 60 dias com irrigação, pulverização, poda e substituição de mudas mortas</v>
          </cell>
          <cell r="C881" t="str">
            <v>UN</v>
          </cell>
          <cell r="D881">
            <v>47.5244</v>
          </cell>
        </row>
        <row r="882">
          <cell r="A882" t="str">
            <v>001.22.01220</v>
          </cell>
          <cell r="B882" t="str">
            <v>Fornecimento e Plantio de Palmeira Imperial ( 3.00 mts), com manutenção por 60 dias com irrigação, pulverização, poda e substituição de mudas mortas</v>
          </cell>
          <cell r="C882" t="str">
            <v>UN</v>
          </cell>
          <cell r="D882">
            <v>84.650099999999995</v>
          </cell>
        </row>
        <row r="883">
          <cell r="A883" t="str">
            <v>001.22.01240</v>
          </cell>
          <cell r="B883" t="str">
            <v>Fornecimento e Plantio de Palmeira Jerivá ( 2.00 mts), com manutenção por 60 dias com irrigação, pulverização, poda e substituição de mudas mortas</v>
          </cell>
          <cell r="C883" t="str">
            <v>UN</v>
          </cell>
          <cell r="D883">
            <v>42.5244</v>
          </cell>
        </row>
        <row r="884">
          <cell r="A884" t="str">
            <v>001.22.01260</v>
          </cell>
          <cell r="B884" t="str">
            <v>Fornecimento e Plantio de Palmeira Jerivá (3.00 mts), com manutenção por 60 dias com irrigação, pulverização, poda e substituição de mudas mortas</v>
          </cell>
          <cell r="C884" t="str">
            <v>UN</v>
          </cell>
          <cell r="D884">
            <v>59.650100000000002</v>
          </cell>
        </row>
        <row r="885">
          <cell r="A885" t="str">
            <v>001.22.01280</v>
          </cell>
          <cell r="B885" t="str">
            <v>Fornecimento e Plantio de Palmeira Jerivá (4.00 mts), com manutenção por 60 dias com irrigação, pulverização, poda e substituição de mudas mortas</v>
          </cell>
          <cell r="C885" t="str">
            <v>UN</v>
          </cell>
          <cell r="D885">
            <v>77.875600000000006</v>
          </cell>
        </row>
        <row r="886">
          <cell r="A886" t="str">
            <v>001.22.01300</v>
          </cell>
          <cell r="B886" t="str">
            <v>Fornecimento e Plantio de Palmeira Jerivá (4.50 mts), com manutenção por 60 dias com irrigação, pulverização, poda e substituição de mudas mortas</v>
          </cell>
          <cell r="C886" t="str">
            <v>UN</v>
          </cell>
          <cell r="D886">
            <v>98.815299999999993</v>
          </cell>
        </row>
        <row r="887">
          <cell r="A887" t="str">
            <v>001.22.01320</v>
          </cell>
          <cell r="B887" t="str">
            <v>Fornecimento e Plantio de Papirus do Egito (pequeno), com manutenção por 60 dias com irrigação, pulverização, poda e substituição de mudas mortas</v>
          </cell>
          <cell r="C887" t="str">
            <v>UN</v>
          </cell>
          <cell r="D887">
            <v>4.0057999999999998</v>
          </cell>
        </row>
        <row r="888">
          <cell r="A888" t="str">
            <v>001.22.01340</v>
          </cell>
          <cell r="B888" t="str">
            <v>Fornecimento e Plantio de Papirus do Egito (médio), com manutenção por 60 dias com irrigação, pulverização, poda e substituição de mudas mortas</v>
          </cell>
          <cell r="C888" t="str">
            <v>UN</v>
          </cell>
          <cell r="D888">
            <v>4.0057999999999998</v>
          </cell>
        </row>
        <row r="889">
          <cell r="A889" t="str">
            <v>001.22.01360</v>
          </cell>
          <cell r="B889" t="str">
            <v>Fornecimento e Plantio de Pau Brasil (média), com manutenção por 60 dias com irrigação, pulverização, poda e substituição de mudas mortas</v>
          </cell>
          <cell r="C889" t="str">
            <v>UN</v>
          </cell>
          <cell r="D889">
            <v>19.2989</v>
          </cell>
        </row>
        <row r="890">
          <cell r="A890" t="str">
            <v>001.22.01380</v>
          </cell>
          <cell r="B890" t="str">
            <v>Fornecimento e Plantio de Pau Ferro (pequeno), com manutenção por 60 dias com irrigação, pulverização, poda e substituição de mudas mortas</v>
          </cell>
          <cell r="C890" t="str">
            <v>UN</v>
          </cell>
          <cell r="D890">
            <v>6.3682999999999996</v>
          </cell>
        </row>
        <row r="891">
          <cell r="A891" t="str">
            <v>001.22.01400</v>
          </cell>
          <cell r="B891" t="str">
            <v>Fornecimento e Plantio de Pau Ferro (médio), com manutenção por 60 dias com irrigação, pulverização, poda e substituição de mudas mortas</v>
          </cell>
          <cell r="C891" t="str">
            <v>UN</v>
          </cell>
          <cell r="D891">
            <v>6.3682999999999996</v>
          </cell>
        </row>
        <row r="892">
          <cell r="A892" t="str">
            <v>001.22.01420</v>
          </cell>
          <cell r="B892" t="str">
            <v>Fornecimento e Plantio de Pingo de Ouro (pequeno), com manutenção por 60 dias com irrigação, pulverização, poda e substituição de mudas mortas</v>
          </cell>
          <cell r="C892" t="str">
            <v>UN</v>
          </cell>
          <cell r="D892">
            <v>1.5058</v>
          </cell>
        </row>
        <row r="893">
          <cell r="A893" t="str">
            <v>001.22.01440</v>
          </cell>
          <cell r="B893" t="str">
            <v>Fornecimento e Plantio de Pingo de Ouro (média), com manutenção por 60 dias com irrigação, pulverização, poda e substituição de mudas mortas</v>
          </cell>
          <cell r="C893" t="str">
            <v>UN</v>
          </cell>
          <cell r="D893">
            <v>2.5057999999999998</v>
          </cell>
        </row>
        <row r="894">
          <cell r="A894" t="str">
            <v>001.22.01460</v>
          </cell>
          <cell r="B894" t="str">
            <v>Fornecimento e Plantio de Pingo de Ouro (grande), com manutenção por 60 dias com irrigação, pulverização, poda e substituição de mudas mortas</v>
          </cell>
          <cell r="C894" t="str">
            <v>UN</v>
          </cell>
          <cell r="D894">
            <v>4.3682999999999996</v>
          </cell>
        </row>
        <row r="895">
          <cell r="A895" t="str">
            <v>001.22.01480</v>
          </cell>
          <cell r="B895" t="str">
            <v>Fornecimento e Plantio de Sansão do Campo (pequeno), com manutenção por 60 dias com irrigação, pulverização, poda e substituição de mudas mortas</v>
          </cell>
          <cell r="C895" t="str">
            <v>UN</v>
          </cell>
          <cell r="D895">
            <v>1.4057999999999999</v>
          </cell>
        </row>
        <row r="896">
          <cell r="A896" t="str">
            <v>001.22.01500</v>
          </cell>
          <cell r="B896" t="str">
            <v>Fornecimento e Instalação de Proteção de Árvores em Madeira Conf. Det. SINFRA, Composto Por Caibros e Ripas,  Incl. Caiação</v>
          </cell>
          <cell r="C896" t="str">
            <v>UN</v>
          </cell>
          <cell r="D896">
            <v>42.762500000000003</v>
          </cell>
        </row>
        <row r="897">
          <cell r="A897" t="str">
            <v>001.22.01520</v>
          </cell>
          <cell r="B897" t="str">
            <v>Grade de proteção para árvores h = 2.00 m</v>
          </cell>
          <cell r="C897" t="str">
            <v>UN</v>
          </cell>
          <cell r="D897">
            <v>33.957799999999999</v>
          </cell>
        </row>
        <row r="898">
          <cell r="A898" t="str">
            <v>001.22.01540</v>
          </cell>
          <cell r="B898" t="str">
            <v>Fornecimento e espalhamento de terra vegetal</v>
          </cell>
          <cell r="C898" t="str">
            <v>M3</v>
          </cell>
          <cell r="D898">
            <v>70.324399999999997</v>
          </cell>
        </row>
        <row r="899">
          <cell r="A899" t="str">
            <v>001.22.01560</v>
          </cell>
          <cell r="B899" t="str">
            <v>Grama em Sementes - Plantio Manual de Semente de Grama incl. Irrigação de Área, Frequência 1 Vez Por Semana Pelo Período de 30 dias</v>
          </cell>
          <cell r="C899" t="str">
            <v>M2</v>
          </cell>
          <cell r="D899">
            <v>0.62419999999999998</v>
          </cell>
        </row>
        <row r="900">
          <cell r="A900" t="str">
            <v>001.22.01580</v>
          </cell>
          <cell r="B900" t="str">
            <v>Grama em mudas tipo (forquilha ou estrela) com manutenção por 60 dias  com irrigação diária, pulverização, adubação e substiuição de mudas mortas</v>
          </cell>
          <cell r="C900" t="str">
            <v>M2</v>
          </cell>
          <cell r="D900">
            <v>2.5173999999999999</v>
          </cell>
        </row>
        <row r="901">
          <cell r="A901" t="str">
            <v>001.22.01600</v>
          </cell>
          <cell r="B901" t="str">
            <v>Grama em placas com manutenção por 60 dias com irrigação diária, pulverização, adubação e substituição de mudas mortas</v>
          </cell>
          <cell r="C901" t="str">
            <v>M2</v>
          </cell>
          <cell r="D901">
            <v>4.6002000000000001</v>
          </cell>
        </row>
        <row r="902">
          <cell r="A902" t="str">
            <v>001.22.01620</v>
          </cell>
          <cell r="B902" t="str">
            <v>Cascalho lavado p/passeio</v>
          </cell>
          <cell r="C902" t="str">
            <v>M3</v>
          </cell>
          <cell r="D902">
            <v>36.862200000000001</v>
          </cell>
        </row>
        <row r="903">
          <cell r="A903" t="str">
            <v>001.22.01640</v>
          </cell>
          <cell r="B903" t="str">
            <v>Brita na área interna do prédio</v>
          </cell>
          <cell r="C903" t="str">
            <v>M3</v>
          </cell>
          <cell r="D903">
            <v>44.947299999999998</v>
          </cell>
        </row>
        <row r="904">
          <cell r="A904" t="str">
            <v>001.22.01660</v>
          </cell>
          <cell r="B904" t="str">
            <v>Brita na área interna do prédio - branca - (fins decorativos)</v>
          </cell>
          <cell r="C904" t="str">
            <v>M3</v>
          </cell>
          <cell r="D904">
            <v>49.324399999999997</v>
          </cell>
        </row>
        <row r="905">
          <cell r="A905" t="str">
            <v>001.22.01680</v>
          </cell>
          <cell r="B905" t="str">
            <v>Brita na área interna do prédio - escurinha - (fins decorativos)</v>
          </cell>
          <cell r="C905" t="str">
            <v>M3</v>
          </cell>
          <cell r="D905">
            <v>49.324399999999997</v>
          </cell>
        </row>
        <row r="906">
          <cell r="A906" t="str">
            <v>001.22.01700</v>
          </cell>
          <cell r="B906" t="str">
            <v>Execução de Banco em Estrutura Mista Dimensões Compr.=5.00 mts, Larg.=0.50 mts, Altur.= 0.55 mts, Sendo a Placa em Concreto 25 Mpa, os Apoios em Alvenaria Tijolo 9x19x19cm de 1 Vez, Chapiscado e Rebocado Conf. Det. SINFRA</v>
          </cell>
          <cell r="C906" t="str">
            <v>UN</v>
          </cell>
          <cell r="D906">
            <v>236.13910000000001</v>
          </cell>
        </row>
        <row r="907">
          <cell r="A907" t="str">
            <v>001.22.01720</v>
          </cell>
          <cell r="B907" t="str">
            <v>Execução de Muro de Estrutura Mista de Altura 2.10 m, Composto Por Concreto Armado 21 Mpa, Aço Ca 50 (Armadura Longitudinal) e 60 (Estribos) e Alvenaria 1/2 Vez de Tijolos Cerâmicos 9 x 19 x 19 cm, Incl. Chapisco e Reboco Em Uma Face</v>
          </cell>
          <cell r="C907" t="str">
            <v>M2</v>
          </cell>
          <cell r="D907">
            <v>102.37269999999999</v>
          </cell>
        </row>
        <row r="908">
          <cell r="A908" t="str">
            <v>001.22.01740</v>
          </cell>
          <cell r="B908" t="str">
            <v>Execução de Muro de Estrutura Mista de Altura 2.10 m, Composto Por Concreto Armado 21 Mpa, Aço Ca 50 (Armadura Longitudinal) e 60 (Estribos) e Alvenaria 1/2 Vez de Tijolos Cerâmicos 9 x 19 x 19 cm, Incl. Chapisco e Reboco Nas Duas Faces</v>
          </cell>
          <cell r="C908" t="str">
            <v>M2</v>
          </cell>
          <cell r="D908">
            <v>122.9966</v>
          </cell>
        </row>
        <row r="909">
          <cell r="A909" t="str">
            <v>001.22.01760</v>
          </cell>
          <cell r="B909" t="str">
            <v>Execução de alambrado em tubo de ferro Galvanizado 2"""""""" chapa 13 formando quadro de 2.50x3.00m e tela tipo alambrado fio 12 malha 2"""""""" fixado com arame galvanizado n.14</v>
          </cell>
          <cell r="C909" t="str">
            <v>M2</v>
          </cell>
          <cell r="D909">
            <v>46.3568</v>
          </cell>
        </row>
        <row r="910">
          <cell r="A910" t="str">
            <v>001.22.01780</v>
          </cell>
          <cell r="B910" t="str">
            <v>Execução de alambrado em tubo de ferro Galvanizado 2"""""""" chapa 13 formando quadro de 3.00x3.00m e tela tipo alambrado fio 12 malha 2"""""""" fixado com arame galvanizado n.14</v>
          </cell>
          <cell r="C910" t="str">
            <v>M2</v>
          </cell>
          <cell r="D910">
            <v>44.682099999999998</v>
          </cell>
        </row>
        <row r="911">
          <cell r="A911" t="str">
            <v>001.22.01800</v>
          </cell>
          <cell r="B911" t="str">
            <v>Alambrado c/ Tela Arame Galv. Losangular fio 12, malha 2"""""""", altura da tela 1.50 m, fix. em pilarete de concreto pré moldado h= 3.00 m, espaçados a cada 2.50 m, com reforço arame galv. n.10</v>
          </cell>
          <cell r="C911" t="str">
            <v>ML</v>
          </cell>
          <cell r="D911">
            <v>54.063800000000001</v>
          </cell>
        </row>
        <row r="912">
          <cell r="A912" t="str">
            <v>001.22.01820</v>
          </cell>
          <cell r="B912" t="str">
            <v xml:space="preserve">Alambrado c/ Tela Arame Galv. Losangular fio 12, malha 2"""""""", altura da tela 1.50 m, fix. em pilarete de concreto pré moldado h= 2.60 m, espaçados a cada 2.50 m, com reforço arame galv. n.10, incl.mureta de alvenaria h=0.50 m chapiscada, rebocada e </v>
          </cell>
          <cell r="C912" t="str">
            <v>ML</v>
          </cell>
          <cell r="D912">
            <v>64.299300000000002</v>
          </cell>
        </row>
        <row r="913">
          <cell r="A913" t="str">
            <v>001.22.01840</v>
          </cell>
          <cell r="B913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913" t="str">
            <v>ML</v>
          </cell>
          <cell r="D913">
            <v>64.295699999999997</v>
          </cell>
        </row>
        <row r="914">
          <cell r="A914" t="str">
            <v>001.22.01860</v>
          </cell>
          <cell r="B914" t="str">
            <v>Fornecimento e Instalação de Portão em Tubo Galvanizado 2"""""""" e Tela Galvanizada Malha 2"""""""", incl. Ferragens</v>
          </cell>
          <cell r="C914" t="str">
            <v>M2</v>
          </cell>
          <cell r="D914">
            <v>100.1602</v>
          </cell>
        </row>
        <row r="915">
          <cell r="A915" t="str">
            <v>001.22.01880</v>
          </cell>
          <cell r="B915" t="str">
            <v>Fornecimento e Instalação de Portão em Tubo Galvanizado 2"""""""" em Tela Galvanizada Malha 2"""""""", incl. Ferragens dim. 0.80 x 2.10 m Conf. Det. 04 SINFRA</v>
          </cell>
          <cell r="C915" t="str">
            <v>M2</v>
          </cell>
          <cell r="D915">
            <v>120.346</v>
          </cell>
        </row>
        <row r="916">
          <cell r="A916" t="str">
            <v>001.22.01900</v>
          </cell>
          <cell r="B916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916" t="str">
            <v>M2</v>
          </cell>
          <cell r="D916">
            <v>22.287500000000001</v>
          </cell>
        </row>
        <row r="917">
          <cell r="A917" t="str">
            <v>001.22.01920</v>
          </cell>
          <cell r="B917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917" t="str">
            <v>M2</v>
          </cell>
          <cell r="D917">
            <v>32.633099999999999</v>
          </cell>
        </row>
        <row r="918">
          <cell r="A918" t="str">
            <v>001.22.01940</v>
          </cell>
          <cell r="B918" t="str">
            <v>Fornecimento e assentamento de paralelepípedo</v>
          </cell>
          <cell r="C918" t="str">
            <v>M2</v>
          </cell>
          <cell r="D918">
            <v>27.1783</v>
          </cell>
        </row>
        <row r="919">
          <cell r="A919" t="str">
            <v>001.22.01960</v>
          </cell>
          <cell r="B919" t="str">
            <v>Guias de concreto pré-moldados (concreto 300kg cimento/m3) de seção 15x30 cm (espessura 12.00 cm no topo)  o serviço inclui a abertura das valas, assentamento e rejuntamento das guias</v>
          </cell>
          <cell r="C919" t="str">
            <v>ML</v>
          </cell>
          <cell r="D919">
            <v>18.171500000000002</v>
          </cell>
        </row>
        <row r="920">
          <cell r="A920" t="str">
            <v>001.22.01980</v>
          </cell>
          <cell r="B920" t="str">
            <v>Guias curvas de concreto pré-moldados (concreto 300kg cimento/m3) de seção 15x30 cm (espessura 12.00 cm no topo)  o serviço inclui a abertura das valas, assentamento e rejuntamento das guias</v>
          </cell>
          <cell r="C920" t="str">
            <v>ML</v>
          </cell>
          <cell r="D920">
            <v>18.053999999999998</v>
          </cell>
        </row>
        <row r="921">
          <cell r="A921" t="str">
            <v>001.22.02000</v>
          </cell>
          <cell r="B921" t="str">
            <v>Sarjeta de concreto (300kg cim/m3) fundido no local seção 40.00 x 8.00 cm, o serviço inclui a abertura de vala, assentamento e rejuntamento</v>
          </cell>
          <cell r="C921" t="str">
            <v>ML</v>
          </cell>
          <cell r="D921">
            <v>16.639199999999999</v>
          </cell>
        </row>
        <row r="922">
          <cell r="A922" t="str">
            <v>001.22.02020</v>
          </cell>
          <cell r="B922" t="str">
            <v>Retirada e reassentamento de meio-fio</v>
          </cell>
          <cell r="C922" t="str">
            <v>M</v>
          </cell>
          <cell r="D922">
            <v>17.670500000000001</v>
          </cell>
        </row>
        <row r="923">
          <cell r="A923" t="str">
            <v>001.23</v>
          </cell>
          <cell r="B923" t="str">
            <v>INSTALAÇÕES ELÉTRICAS - BAIXA TENSÃO</v>
          </cell>
        </row>
        <row r="924">
          <cell r="A924" t="str">
            <v>001.23.00020</v>
          </cell>
          <cell r="B924" t="str">
            <v>Abertura e enchimento de rasgos na alvenaria para passagem de canalização diâmetro 1/2 à 1 pol</v>
          </cell>
          <cell r="C924" t="str">
            <v>ML</v>
          </cell>
          <cell r="D924">
            <v>2.0659999999999998</v>
          </cell>
        </row>
        <row r="925">
          <cell r="A925" t="str">
            <v>001.23.00040</v>
          </cell>
          <cell r="B925" t="str">
            <v>Abertura e enchimento de rasgos na alvenaria para passagem de canalização diâmetro 1 1/4 à 2 pol</v>
          </cell>
          <cell r="C925" t="str">
            <v>ML</v>
          </cell>
          <cell r="D925">
            <v>2.7524000000000002</v>
          </cell>
        </row>
        <row r="926">
          <cell r="A926" t="str">
            <v>001.23.00060</v>
          </cell>
          <cell r="B926" t="str">
            <v>Abertura e enchimento de rasgos na alvenaria para passagem de canalização diâmetro 2.5 à 4 pol</v>
          </cell>
          <cell r="C926" t="str">
            <v>ML</v>
          </cell>
          <cell r="D926">
            <v>3.8664999999999998</v>
          </cell>
        </row>
        <row r="927">
          <cell r="A927" t="str">
            <v>001.23.00080</v>
          </cell>
          <cell r="B927" t="str">
            <v>Abertura e enchimento de rasgos no concreto para passagem de canalização diâmetro de 1/2 à 1 pol</v>
          </cell>
          <cell r="C927" t="str">
            <v>ML</v>
          </cell>
          <cell r="D927">
            <v>4.5274000000000001</v>
          </cell>
        </row>
        <row r="928">
          <cell r="A928" t="str">
            <v>001.23.00100</v>
          </cell>
          <cell r="B928" t="str">
            <v>Envelope de concreto Fck=13,50 Mpa, para proteção de tubos enterrados, incl. escavação, acerto de vala e lançamento de concreto</v>
          </cell>
          <cell r="C928" t="str">
            <v>M3</v>
          </cell>
          <cell r="D928">
            <v>193.22980000000001</v>
          </cell>
        </row>
        <row r="929">
          <cell r="A929" t="str">
            <v>001.23.00120</v>
          </cell>
          <cell r="B929" t="str">
            <v>Fornecimento e instalação de Padrão Monofásico Em Aço Galvanizado h= 5.00 mts Aéreo 40 A """"""""""""""""CP"""""""""""""""" s/ eletroduto - Conjunto completo incl aterramento</v>
          </cell>
          <cell r="C929" t="str">
            <v>UN</v>
          </cell>
          <cell r="D929">
            <v>228.16679999999999</v>
          </cell>
        </row>
        <row r="930">
          <cell r="A930" t="str">
            <v>001.23.00140</v>
          </cell>
          <cell r="B930" t="str">
            <v>Fornecimento e instalação de Padrão Monofásico Em Aço Galvanizado h= 7.00 mts Aéreo 40 A """"""""""""""""CP"""""""""""""""" s/ eletroduto - Conjunto completo incl aterramento</v>
          </cell>
          <cell r="C930" t="str">
            <v>UN</v>
          </cell>
          <cell r="D930">
            <v>266.6268</v>
          </cell>
        </row>
        <row r="931">
          <cell r="A931" t="str">
            <v>001.23.00160</v>
          </cell>
          <cell r="B931" t="str">
            <v>Fornecimento e Instalação de Padrão Bifásico  Em Aço Galvanizado h= 7.00 mts Aéreo 60 A """"""""""""""""CP"""""""""""""""" s/ eletroduto - Conjunto completo incl aterramento</v>
          </cell>
          <cell r="C931" t="str">
            <v>UN</v>
          </cell>
          <cell r="D931">
            <v>306.09519999999998</v>
          </cell>
        </row>
        <row r="932">
          <cell r="A932" t="str">
            <v>001.23.00180</v>
          </cell>
          <cell r="B932" t="str">
            <v>Fornecimento e instalação de Padrão Trifásico  Em Aço Galvanizado h= 7.00 mts Aéreo 60 A """"""""""""""""CP"""""""""""""""" s/ eletroduto - Conjunto completo incl aterramento</v>
          </cell>
          <cell r="C932" t="str">
            <v>UN</v>
          </cell>
          <cell r="D932">
            <v>629.59720000000004</v>
          </cell>
        </row>
        <row r="933">
          <cell r="A933" t="str">
            <v>001.23.00200</v>
          </cell>
          <cell r="B933" t="str">
            <v>Fornecimento e instalação de Padrão Trifásico  Em Aço Galvanizado h= 7.00 mts Aéreo 100 A """"""""""""""""CP"""""""""""""""" s/ eletroduto - Conjunto completo incl aterramento</v>
          </cell>
          <cell r="C933" t="str">
            <v>UN</v>
          </cell>
          <cell r="D933">
            <v>837.28719999999998</v>
          </cell>
        </row>
        <row r="934">
          <cell r="A934" t="str">
            <v>001.23.00220</v>
          </cell>
          <cell r="B934" t="str">
            <v>Fornecimento e instalação de Padrão Trifásico  Em Aço Galvanizado h= 7.00 mts Aéreo 125 A """"""""""""""""CP"""""""""""""""" s/ eletroduto, DJ T 04 - Conjunto completo incl aterramento</v>
          </cell>
          <cell r="C934" t="str">
            <v>CJ</v>
          </cell>
          <cell r="D934">
            <v>1771.9072000000001</v>
          </cell>
        </row>
        <row r="935">
          <cell r="A935" t="str">
            <v>001.23.00240</v>
          </cell>
          <cell r="B935" t="str">
            <v>Fornecimento e instalação de Caixa Padrão """"""""""""""""CP"""""""""""""""" P/ Medidor Monofásico, Bifásico e Trifásico - Baixa Tensão</v>
          </cell>
          <cell r="C935" t="str">
            <v>UN</v>
          </cell>
          <cell r="D935">
            <v>46.846800000000002</v>
          </cell>
        </row>
        <row r="936">
          <cell r="A936" t="str">
            <v>001.23.00260</v>
          </cell>
          <cell r="B936" t="str">
            <v>Fornecimento e instalação de Caixa Padrão """"""""""""""""FP"""""""""""""""" P/ Medidor Bifásico e Trifásico - Baixa Tensão</v>
          </cell>
          <cell r="C936" t="str">
            <v>UN</v>
          </cell>
          <cell r="D936">
            <v>95.366799999999998</v>
          </cell>
        </row>
        <row r="937">
          <cell r="A937" t="str">
            <v>001.23.00280</v>
          </cell>
          <cell r="B937" t="str">
            <v>Fornecimento e instalação de Caixa Padrão """"""""""""""""FM"""""""""""""""" P/ Medidor Monofásico - Baixa Tensão</v>
          </cell>
          <cell r="C937" t="str">
            <v>UN</v>
          </cell>
          <cell r="D937">
            <v>81.187600000000003</v>
          </cell>
        </row>
        <row r="938">
          <cell r="A938" t="str">
            <v>001.23.00300</v>
          </cell>
          <cell r="B938" t="str">
            <v>Fornecimento e instalação de Isolador Roldana de Plástico C/ Parafuso P/ Fixar em Madeira de 1/2 pol.</v>
          </cell>
          <cell r="C938" t="str">
            <v>UN</v>
          </cell>
          <cell r="D938">
            <v>0.54779999999999995</v>
          </cell>
        </row>
        <row r="939">
          <cell r="A939" t="str">
            <v>001.23.00320</v>
          </cell>
          <cell r="B939" t="str">
            <v>Fornecimento e instalação de Isolador Roldana de Plástico C/ Parafuso P/ Fixar em Madeira de 3/4 pol.</v>
          </cell>
          <cell r="C939" t="str">
            <v>UN</v>
          </cell>
          <cell r="D939">
            <v>0.56979999999999997</v>
          </cell>
        </row>
        <row r="940">
          <cell r="A940" t="str">
            <v>001.23.00340</v>
          </cell>
          <cell r="B940" t="str">
            <v>Fornecimento e Instalação de Isolador Roldana de Porcelana 72x72 C/ Parafuso P/ Fixar Em Madeira</v>
          </cell>
          <cell r="C940" t="str">
            <v>UN</v>
          </cell>
          <cell r="D940">
            <v>2.4434999999999998</v>
          </cell>
        </row>
        <row r="941">
          <cell r="A941" t="str">
            <v>001.23.00360</v>
          </cell>
          <cell r="B941" t="str">
            <v>Fornecimento e instalação de Mangueira  Polietileno Marron  Linha Popular Diâmetro 1/2 Pol X 2,0 mm</v>
          </cell>
          <cell r="C941" t="str">
            <v>M</v>
          </cell>
          <cell r="D941">
            <v>1.0511999999999999</v>
          </cell>
        </row>
        <row r="942">
          <cell r="A942" t="str">
            <v>001.23.00380</v>
          </cell>
          <cell r="B942" t="str">
            <v>Fornecimento e instalação de Mangueira  Polietileno Marron  Linha Popular Diâmetro 3/4 Pol X 2,5 mm</v>
          </cell>
          <cell r="C942" t="str">
            <v>M</v>
          </cell>
          <cell r="D942">
            <v>1.3082</v>
          </cell>
        </row>
        <row r="943">
          <cell r="A943" t="str">
            <v>001.23.00400</v>
          </cell>
          <cell r="B943" t="str">
            <v>Fornecimento e instalação de Mangueira  Polietileno Marron  Linha Popular Diâmetro 1 Pol X 2,5 mm</v>
          </cell>
          <cell r="C943" t="str">
            <v>M</v>
          </cell>
          <cell r="D943">
            <v>1.5806</v>
          </cell>
        </row>
        <row r="944">
          <cell r="A944" t="str">
            <v>001.23.00420</v>
          </cell>
          <cell r="B944" t="str">
            <v>Fornecimento e instalação de canaleta de pvc 110x20x2.200 mm ref. 300 46 sistema """"""""""""""""""""""""""""""""x"""""""""""""""""""""""""""""""" da pial</v>
          </cell>
          <cell r="C944" t="str">
            <v>UN</v>
          </cell>
          <cell r="D944">
            <v>5.7656999999999998</v>
          </cell>
        </row>
        <row r="945">
          <cell r="A945" t="str">
            <v>001.23.00440</v>
          </cell>
          <cell r="B945" t="str">
            <v>Fornecimento e instalação de eletroduto flexível  1/2"""""""""""""""""""""""""""""""" (20mm) corrugado de pvc</v>
          </cell>
          <cell r="C945" t="str">
            <v>M</v>
          </cell>
          <cell r="D945">
            <v>1.5581</v>
          </cell>
        </row>
        <row r="946">
          <cell r="A946" t="str">
            <v>001.23.00460</v>
          </cell>
          <cell r="B946" t="str">
            <v>Fornecimento e instalação de eletroduto flexível  3/4"""""""""""""""""""""""""""""""" (25mm) corrugado de pvc</v>
          </cell>
          <cell r="C946" t="str">
            <v>M</v>
          </cell>
          <cell r="D946">
            <v>1.9355</v>
          </cell>
        </row>
        <row r="947">
          <cell r="A947" t="str">
            <v>001.23.00480</v>
          </cell>
          <cell r="B947" t="str">
            <v>Fornecimento e instalação de eletroduto flexível  1"""""""""""""""""""""""""""""""" (32mm) corrugado de pvc</v>
          </cell>
          <cell r="C947" t="str">
            <v>M</v>
          </cell>
          <cell r="D947">
            <v>3.238</v>
          </cell>
        </row>
        <row r="948">
          <cell r="A948" t="str">
            <v>001.23.00500</v>
          </cell>
          <cell r="B948" t="str">
            <v>Fornecimento e instalação de Caixa Retang. De Ferro  de Embutir C/Furos De 1/2 pol e 3/4pol 4x2pol</v>
          </cell>
          <cell r="C948" t="str">
            <v>UN</v>
          </cell>
          <cell r="D948">
            <v>3.0396999999999998</v>
          </cell>
        </row>
        <row r="949">
          <cell r="A949" t="str">
            <v>001.23.00520</v>
          </cell>
          <cell r="B949" t="str">
            <v>Fornecimento e instalação de Caixa Retang. De Ferro  de Embutir C/Furos De 1/2 pol e 3/4pol 4x4pol</v>
          </cell>
          <cell r="C949" t="str">
            <v>UN</v>
          </cell>
          <cell r="D949">
            <v>3.8307000000000002</v>
          </cell>
        </row>
        <row r="950">
          <cell r="A950" t="str">
            <v>001.23.00540</v>
          </cell>
          <cell r="B950" t="str">
            <v>Fornecimento e instalação de Caixa Retang. De Ferro  de Embutir C/Furos De 1/2 pol e 3/4pol 3x3pol</v>
          </cell>
          <cell r="C950" t="str">
            <v>UN</v>
          </cell>
          <cell r="D950">
            <v>3.3397000000000001</v>
          </cell>
        </row>
        <row r="951">
          <cell r="A951" t="str">
            <v>001.23.00560</v>
          </cell>
          <cell r="B951" t="str">
            <v>Fornecimento e instalação de Caixa  Octog. De Ferro de Embutir Fundo Movel C/Furos 1/2 pol e3/4pol 4x4 pol - FMD</v>
          </cell>
          <cell r="C951" t="str">
            <v>UN</v>
          </cell>
          <cell r="D951">
            <v>4.2187000000000001</v>
          </cell>
        </row>
        <row r="952">
          <cell r="A952" t="str">
            <v>001.23.00580</v>
          </cell>
          <cell r="B952" t="str">
            <v>Fornecimento e instalação de Caixa De Ligação P/Piso Em Liga De Alumínio 4x2pol</v>
          </cell>
          <cell r="C952" t="str">
            <v>UN</v>
          </cell>
          <cell r="D952">
            <v>8.4777000000000005</v>
          </cell>
        </row>
        <row r="953">
          <cell r="A953" t="str">
            <v>001.23.00600</v>
          </cell>
          <cell r="B953" t="str">
            <v>Fornecimento e instalação de fio de cobre seção 1.50 mm2, com isolamento para 750 v, com caract. não propagante ao fogo e auto extinguível, pirastic ou similar.</v>
          </cell>
          <cell r="C953" t="str">
            <v>ML</v>
          </cell>
          <cell r="D953">
            <v>0.61280000000000001</v>
          </cell>
        </row>
        <row r="954">
          <cell r="A954" t="str">
            <v>001.23.00620</v>
          </cell>
          <cell r="B954" t="str">
            <v>Fornecimento e instalação de fio de cobre seção 2.50 mm2, com isolamento para 750 v, com caract. não propagante ao fogo e auto extinguível, pirastic ou similar.</v>
          </cell>
          <cell r="C954" t="str">
            <v>ML</v>
          </cell>
          <cell r="D954">
            <v>0.71479999999999999</v>
          </cell>
        </row>
        <row r="955">
          <cell r="A955" t="str">
            <v>001.23.00640</v>
          </cell>
          <cell r="B955" t="str">
            <v>Fornecimento e instalação de fio de cobre seção 4.00 mm2, com isolamento para 750 v, com caract. não propagante ao fogo e auto extinguível, pirastic ou similar.</v>
          </cell>
          <cell r="C955" t="str">
            <v>ML</v>
          </cell>
          <cell r="D955">
            <v>1.3270999999999999</v>
          </cell>
        </row>
        <row r="956">
          <cell r="A956" t="str">
            <v>001.23.00660</v>
          </cell>
          <cell r="B956" t="str">
            <v>Fornecimento e instalação de fio de cobre seção 6.00 mm2, com isolamento para 750 v, com caract. não propagante ao fogo e auto extinguível, pirastic ou similar.</v>
          </cell>
          <cell r="C956" t="str">
            <v>ML</v>
          </cell>
          <cell r="D956">
            <v>1.8374999999999999</v>
          </cell>
        </row>
        <row r="957">
          <cell r="A957" t="str">
            <v>001.23.00680</v>
          </cell>
          <cell r="B957" t="str">
            <v>Fornecimento e instalação de fio de cobre seção 10.00 mm2, com isolamento para 750 v, com caract. não propagante ao fogo e auto extinguível, pirastic ou similar.</v>
          </cell>
          <cell r="C957" t="str">
            <v>ML</v>
          </cell>
          <cell r="D957">
            <v>3.0129000000000001</v>
          </cell>
        </row>
        <row r="958">
          <cell r="A958" t="str">
            <v>001.23.00700</v>
          </cell>
          <cell r="B958" t="str">
            <v>Fornecimento e instalação de cabo de cobre seção 2.50 mm2, com isolamento para 750 v, com caract. não propagante ao fogo e auto extinguível, pirastic flex ou similar.</v>
          </cell>
          <cell r="C958" t="str">
            <v>ML</v>
          </cell>
          <cell r="D958">
            <v>0.86780000000000002</v>
          </cell>
        </row>
        <row r="959">
          <cell r="A959" t="str">
            <v>001.23.00720</v>
          </cell>
          <cell r="B959" t="str">
            <v>Fornecimento e instalação de cabo de cobre seção 4.00 mm2, com isolamento para 750 v, com caract. não propagante ao fogo e auto extinguível, pirastic flex ou similar.</v>
          </cell>
          <cell r="C959" t="str">
            <v>ML</v>
          </cell>
          <cell r="D959">
            <v>1.4801</v>
          </cell>
        </row>
        <row r="960">
          <cell r="A960" t="str">
            <v>001.23.00740</v>
          </cell>
          <cell r="B960" t="str">
            <v>Fornecimento e instalação de cabo de cobre seção 6.00 mm2, com isolamento para 750 v, com caract. não propagante ao fogo e auto extinguível, pirastic flex ou similar.</v>
          </cell>
          <cell r="C960" t="str">
            <v>ML</v>
          </cell>
          <cell r="D960">
            <v>2.0415000000000001</v>
          </cell>
        </row>
        <row r="961">
          <cell r="A961" t="str">
            <v>001.23.00760</v>
          </cell>
          <cell r="B961" t="str">
            <v>Fornecimento e instalação de cabo de cobre seção 10.00 mm2, com isolamento para 750 v, com caract. não propagante ao fogo e auto extinguível, pirastic ou similar.</v>
          </cell>
          <cell r="C961" t="str">
            <v>ML</v>
          </cell>
          <cell r="D961">
            <v>3.7778999999999998</v>
          </cell>
        </row>
        <row r="962">
          <cell r="A962" t="str">
            <v>001.23.00780</v>
          </cell>
          <cell r="B962" t="str">
            <v>Fornecimento e instalação de cabo de cobre seção 16.00 mm2, com isolamento para 750 v, com caract. não propagante ao fogo e auto extinguível, pirastic ou similar.</v>
          </cell>
          <cell r="C962" t="str">
            <v>ML</v>
          </cell>
          <cell r="D962">
            <v>5.0042</v>
          </cell>
        </row>
        <row r="963">
          <cell r="A963" t="str">
            <v>001.23.00800</v>
          </cell>
          <cell r="B963" t="str">
            <v>Fornecimento e instalação de cabo de cobre seção 25.00 mm2, com isolamento para 750 v, com caract. não propagante ao fogo e auto extinguível, pirastic ou similar.</v>
          </cell>
          <cell r="C963" t="str">
            <v>ML</v>
          </cell>
          <cell r="D963">
            <v>8.0645000000000007</v>
          </cell>
        </row>
        <row r="964">
          <cell r="A964" t="str">
            <v>001.23.00820</v>
          </cell>
          <cell r="B964" t="str">
            <v>Fornecimento e instalação de cabo de cobre seção 35.00 mm2, com isolamento para 750 v, com caract. não propagante ao fogo e auto extinguível, pirastic ou similar.</v>
          </cell>
          <cell r="C964" t="str">
            <v>ML</v>
          </cell>
          <cell r="D964">
            <v>10.7181</v>
          </cell>
        </row>
        <row r="965">
          <cell r="A965" t="str">
            <v>001.23.00840</v>
          </cell>
          <cell r="B965" t="str">
            <v>Fornecimento e instalação de cabo de cobre seção 50.00 mm2, com isolamento para 750 v, com caract. não propagante ao fogo e auto extinguível, pirastic ou similar.</v>
          </cell>
          <cell r="C965" t="str">
            <v>ML</v>
          </cell>
          <cell r="D965">
            <v>14.9039</v>
          </cell>
        </row>
        <row r="966">
          <cell r="A966" t="str">
            <v>001.23.00860</v>
          </cell>
          <cell r="B966" t="str">
            <v>Fornecimento e instalação de cabo de cobre seção 70.00 mm2, com isolamento para 750 v, com caract. não propagante ao fogo e auto extinguível, pirastic ou similar.</v>
          </cell>
          <cell r="C966" t="str">
            <v>ML</v>
          </cell>
          <cell r="D966">
            <v>20.617000000000001</v>
          </cell>
        </row>
        <row r="967">
          <cell r="A967" t="str">
            <v>001.23.00880</v>
          </cell>
          <cell r="B967" t="str">
            <v>Fornecimento e instalação de cabo de cobre seção 95.00 mm2, com isolamento para 750 v, com caract. não propagante ao fogo e auto extinguível, pirastic ou similar.</v>
          </cell>
          <cell r="C967" t="str">
            <v>ML</v>
          </cell>
          <cell r="D967">
            <v>26.431799999999999</v>
          </cell>
        </row>
        <row r="968">
          <cell r="A968" t="str">
            <v>001.23.00900</v>
          </cell>
          <cell r="B968" t="str">
            <v>Fornecimento e instalação de cabo de cobre seção 120.00 mm2, com isolamento para 750 v, com caract. não propagante ao fogo e auto extinguível, pirastic ou similar.</v>
          </cell>
          <cell r="C968" t="str">
            <v>ML</v>
          </cell>
          <cell r="D968">
            <v>33.371699999999997</v>
          </cell>
        </row>
        <row r="969">
          <cell r="A969" t="str">
            <v>001.23.00920</v>
          </cell>
          <cell r="B969" t="str">
            <v>Fornecimento e instalação de cabo de cobre seção 150.00 mm2, com isolamento para 750 v, com caract. não propagante ao fogo e auto extinguível, pirastic ou similar.</v>
          </cell>
          <cell r="C969" t="str">
            <v>ML</v>
          </cell>
          <cell r="D969">
            <v>40.4649</v>
          </cell>
        </row>
        <row r="970">
          <cell r="A970" t="str">
            <v>001.23.00940</v>
          </cell>
          <cell r="B970" t="str">
            <v>Fornecimento e instalação de cabo de cobre seção 185.00 mm2, com isolamento para 750 v, com caract. não propagante ao fogo e auto extinguível, pirastic ou similar.</v>
          </cell>
          <cell r="C970" t="str">
            <v>ML</v>
          </cell>
          <cell r="D970">
            <v>51.436500000000002</v>
          </cell>
        </row>
        <row r="971">
          <cell r="A971" t="str">
            <v>001.23.00960</v>
          </cell>
          <cell r="B971" t="str">
            <v>Fornecimento e instalação de cabo de cobre seção 240.00 mm2, com isolamento para 750 v, com caract. não propagante ao fogo e auto extinguível, pirastic ou similar.</v>
          </cell>
          <cell r="C971" t="str">
            <v>ML</v>
          </cell>
          <cell r="D971">
            <v>67.253299999999996</v>
          </cell>
        </row>
        <row r="972">
          <cell r="A972" t="str">
            <v>001.23.00980</v>
          </cell>
          <cell r="B972" t="str">
            <v>Fornecimento e instalação de cabo de cobre seção 300.00 mm2, com isolamento para 750 v, com caract. não propagante ao fogo e auto extinguível, pirastic ou similar.</v>
          </cell>
          <cell r="C972" t="str">
            <v>ML</v>
          </cell>
          <cell r="D972">
            <v>86.642099999999999</v>
          </cell>
        </row>
        <row r="973">
          <cell r="A973" t="str">
            <v>001.23.01000</v>
          </cell>
          <cell r="B973" t="str">
            <v>Fornecimento e instalação de cabo de cobre seção 400.00 mm2, com isolamento para 750 v, com caract. não propagante ao fogo e auto extinguível, pirastic ou similar.</v>
          </cell>
          <cell r="C973" t="str">
            <v>ML</v>
          </cell>
          <cell r="D973">
            <v>128.57910000000001</v>
          </cell>
        </row>
        <row r="974">
          <cell r="A974" t="str">
            <v>001.23.01020</v>
          </cell>
          <cell r="B974" t="str">
            <v>Fornecimento e instalação de cabo de cobre seção 500.00 mm2, com isolamento para 750 v, com caract. não propagante ao fogo e auto extinguível, pirastic ou similar.</v>
          </cell>
          <cell r="C974" t="str">
            <v>ML</v>
          </cell>
          <cell r="D974">
            <v>132.49010000000001</v>
          </cell>
        </row>
        <row r="975">
          <cell r="A975" t="str">
            <v>001.23.01040</v>
          </cell>
          <cell r="B975" t="str">
            <v>Fornecimento e instalação de cabo de cobre seção 2x2.50 mm2, com isolamento para 0.60 /1.00 Kv, com caract. não propagante ao fogo e auto extinguível, sintenax ou similar.</v>
          </cell>
          <cell r="C975" t="str">
            <v>ML</v>
          </cell>
          <cell r="D975">
            <v>2.3468</v>
          </cell>
        </row>
        <row r="976">
          <cell r="A976" t="str">
            <v>001.23.01060</v>
          </cell>
          <cell r="B976" t="str">
            <v>Fornecimento e instalação de cabo de cobre seção 2x4.00 mm2, com isolamento para 0.60 /1.00 Kv, com caract. não propagante ao fogo e auto extinguível, sintenax ou similar.</v>
          </cell>
          <cell r="C976" t="str">
            <v>ML</v>
          </cell>
          <cell r="D976">
            <v>3.5710999999999999</v>
          </cell>
        </row>
        <row r="977">
          <cell r="A977" t="str">
            <v>001.23.01080</v>
          </cell>
          <cell r="B977" t="str">
            <v>Fornecimento e instalação de cabo de cobre seção 2x6.00 mm2, com isolamento para 0.60 /1.00 Kv, com caract. não propagante ao fogo e auto extinguível, sintenax ou similar.</v>
          </cell>
          <cell r="C977" t="str">
            <v>ML</v>
          </cell>
          <cell r="D977">
            <v>5.2545000000000002</v>
          </cell>
        </row>
        <row r="978">
          <cell r="A978" t="str">
            <v>001.23.01100</v>
          </cell>
          <cell r="B978" t="str">
            <v>Fornecimento e instalação de cabo de cobre seção 2x10.00 mm2, com isolamento para 0.60 /1.00 Kv, com caract. não propagante ao fogo e auto extinguível, sintenax ou similar.</v>
          </cell>
          <cell r="C978" t="str">
            <v>ML</v>
          </cell>
          <cell r="D978">
            <v>8.5718999999999994</v>
          </cell>
        </row>
        <row r="979">
          <cell r="A979" t="str">
            <v>001.23.01120</v>
          </cell>
          <cell r="B979" t="str">
            <v>Fornecimento e instalação de cabo de cobre seção 3x2.50 mm2, com isolamento para 0.60 /1.00 Kv, com caract. não propagante ao fogo e auto extinguível, sintenax ou similar.</v>
          </cell>
          <cell r="C979" t="str">
            <v>ML</v>
          </cell>
          <cell r="D979">
            <v>3.1627999999999998</v>
          </cell>
        </row>
        <row r="980">
          <cell r="A980" t="str">
            <v>001.23.01140</v>
          </cell>
          <cell r="B980" t="str">
            <v>Fornecimento e instalação de cabo de cobre seção 3x4.00 mm2, com isolamento para 0.60 /1.00 Kv, com caract. não propagante ao fogo e auto extinguível, sintenax ou similar.</v>
          </cell>
          <cell r="C980" t="str">
            <v>ML</v>
          </cell>
          <cell r="D980">
            <v>4.7441000000000004</v>
          </cell>
        </row>
        <row r="981">
          <cell r="A981" t="str">
            <v>001.23.01160</v>
          </cell>
          <cell r="B981" t="str">
            <v>Fornecimento e instalação de cabo de cobre seção 3x6.00 mm2, com isolamento para 0.60 /1.00 Kv, com caract. não propagante ao fogo e auto extinguível, sintenax ou similar.</v>
          </cell>
          <cell r="C981" t="str">
            <v>ML</v>
          </cell>
          <cell r="D981">
            <v>6.5294999999999996</v>
          </cell>
        </row>
        <row r="982">
          <cell r="A982" t="str">
            <v>001.23.01180</v>
          </cell>
          <cell r="B982" t="str">
            <v>Fornecimento e instalação de cabo de cobre seção 3x10.00 mm2, com isolamento para 0.60 /1.00 Kv, com caract. não propagante ao fogo e auto extinguível, sintenax ou similar.</v>
          </cell>
          <cell r="C982" t="str">
            <v>ML</v>
          </cell>
          <cell r="D982">
            <v>11.2239</v>
          </cell>
        </row>
        <row r="983">
          <cell r="A983" t="str">
            <v>001.23.01200</v>
          </cell>
          <cell r="B983" t="str">
            <v>Fornecimento e instalação de cabos de cobre seção 4.00 mm2,para tensão de 1000 volts formado por condutor de fio de cobre isolado com material de característica não propagante ao fogo</v>
          </cell>
          <cell r="C983" t="str">
            <v>ML</v>
          </cell>
          <cell r="D983">
            <v>1.9402999999999999</v>
          </cell>
        </row>
        <row r="984">
          <cell r="A984" t="str">
            <v>001.23.01220</v>
          </cell>
          <cell r="B984" t="str">
            <v>Fornecimento e instalação de cabos de cobre seção 6.00 mm2,para tensão de 1000 volts formado por condutor de fio de cobre isolado com material de característica não propagante ao fogo</v>
          </cell>
          <cell r="C984" t="str">
            <v>ML</v>
          </cell>
          <cell r="D984">
            <v>2.5908000000000002</v>
          </cell>
        </row>
        <row r="985">
          <cell r="A985" t="str">
            <v>001.23.01240</v>
          </cell>
          <cell r="B985" t="str">
            <v>Fornecimento e instalação de cabos de cobre seção 10.00 mm2,para tensão de 1000 volts formado por condutor de fio de cobre isolado com material de característica não propagante ao fogo</v>
          </cell>
          <cell r="C985" t="str">
            <v>ML</v>
          </cell>
          <cell r="D985">
            <v>3.6861000000000002</v>
          </cell>
        </row>
        <row r="986">
          <cell r="A986" t="str">
            <v>001.23.01260</v>
          </cell>
          <cell r="B986" t="str">
            <v>Fornecimento e instalação de cabos de cobre seção 16.00 mm2,para tensão de 1000 volts formado por condutor de fio de cobre isolado com material de característica não propagante ao fogo</v>
          </cell>
          <cell r="C986" t="str">
            <v>ML</v>
          </cell>
          <cell r="D986">
            <v>5.5754000000000001</v>
          </cell>
        </row>
        <row r="987">
          <cell r="A987" t="str">
            <v>001.23.01280</v>
          </cell>
          <cell r="B987" t="str">
            <v>Fornecimento e instalação de cabos de cobre seção 25.00 mm2,para tensão de 1000 volts formado por condutor de fio de cobre isolado com material de característica não propagante ao fogo</v>
          </cell>
          <cell r="C987" t="str">
            <v>ML</v>
          </cell>
          <cell r="D987">
            <v>8.3704999999999998</v>
          </cell>
        </row>
        <row r="988">
          <cell r="A988" t="str">
            <v>001.23.01300</v>
          </cell>
          <cell r="B988" t="str">
            <v>Fornecimento e instalação de cabos de cobre seção 35.00 mm2,para tensão de 1000 volts formado por condutor de fio de cobre isolado com material de característica não propagante ao fogo</v>
          </cell>
          <cell r="C988" t="str">
            <v>ML</v>
          </cell>
          <cell r="D988">
            <v>10.2285</v>
          </cell>
        </row>
        <row r="989">
          <cell r="A989" t="str">
            <v>001.23.01320</v>
          </cell>
          <cell r="B989" t="str">
            <v>Fornecimento e instalação de cabos de cobre seção 50.00 mm2,para tensão de 1000 volts formado por condutor de fio de cobre isolado com material de característica não propagante ao fogo</v>
          </cell>
          <cell r="C989" t="str">
            <v>ML</v>
          </cell>
          <cell r="D989">
            <v>16.5869</v>
          </cell>
        </row>
        <row r="990">
          <cell r="A990" t="str">
            <v>001.23.01340</v>
          </cell>
          <cell r="B990" t="str">
            <v>Fornecimento e instalação de cabos de cobre seção 70.00 mm2,para tensão de 1000 volts formado por condutor de fio de cobre isolado com material de característica não propagante ao fogo</v>
          </cell>
          <cell r="C990" t="str">
            <v>ML</v>
          </cell>
          <cell r="D990">
            <v>18.780999999999999</v>
          </cell>
        </row>
        <row r="991">
          <cell r="A991" t="str">
            <v>001.23.01360</v>
          </cell>
          <cell r="B991" t="str">
            <v>Fornecimento e instalação de cabos de cobre seção 95.00 mm2,para tensão de 1000 volts formado por condutor de fio de cobre isolado com material de característica não propagante ao fogo</v>
          </cell>
          <cell r="C991" t="str">
            <v>ML</v>
          </cell>
          <cell r="D991">
            <v>25.116</v>
          </cell>
        </row>
        <row r="992">
          <cell r="A992" t="str">
            <v>001.23.01380</v>
          </cell>
          <cell r="B992" t="str">
            <v>Fornecimento e instalação de cabos de cobre seção 120.00 mm2,para tensão de 1000 volts formado por condutor de fio de cobre isolado com material de característica não propagante ao fogo 2</v>
          </cell>
          <cell r="C992" t="str">
            <v>ML</v>
          </cell>
          <cell r="D992">
            <v>31.5459</v>
          </cell>
        </row>
        <row r="993">
          <cell r="A993" t="str">
            <v>001.23.01400</v>
          </cell>
          <cell r="B993" t="str">
            <v>Fornecimento e instalação de cabos de cobre seção 150 mm2,para tensão de 1000 volts formado por condutor de fio de cobre isolado com material de característica não propagante ao fogo</v>
          </cell>
          <cell r="C993" t="str">
            <v>ML</v>
          </cell>
          <cell r="D993">
            <v>38.149500000000003</v>
          </cell>
        </row>
        <row r="994">
          <cell r="A994" t="str">
            <v>001.23.01420</v>
          </cell>
          <cell r="B994" t="str">
            <v>Fornecimento e instalação de cabos de cobre seção 185 mm2,para tensão de 1000 volts formado por condutor de fio de cobre isolado com material de característica não propagante ao fogo</v>
          </cell>
          <cell r="C994" t="str">
            <v>ML</v>
          </cell>
          <cell r="D994">
            <v>48.662100000000002</v>
          </cell>
        </row>
        <row r="995">
          <cell r="A995" t="str">
            <v>001.23.01440</v>
          </cell>
          <cell r="B995" t="str">
            <v>Fornecimento e instalação de cabos de cobre seção 240 mm2,para tensão de 1000 volts formado por condutor de fio de cobre isolado com material de característica não propagante ao fogo</v>
          </cell>
          <cell r="C995" t="str">
            <v>ML</v>
          </cell>
          <cell r="D995">
            <v>62.408299999999997</v>
          </cell>
        </row>
        <row r="996">
          <cell r="A996" t="str">
            <v>001.23.01460</v>
          </cell>
          <cell r="B996" t="str">
            <v>Fornecimento e instalação de cabos de seção 300 mm2,para tensão de 1000 volts formado por condutor de fio de cobre isolado com material de característica não propagante ao fogo</v>
          </cell>
          <cell r="C996" t="str">
            <v>ML</v>
          </cell>
          <cell r="D996">
            <v>79.706100000000006</v>
          </cell>
        </row>
        <row r="997">
          <cell r="A997" t="str">
            <v>001.23.01480</v>
          </cell>
          <cell r="B997" t="str">
            <v>Fornecimento e instalação de cabo de cobre seção 25 mm2,com isolamento de 15 kv</v>
          </cell>
          <cell r="C997" t="str">
            <v>ML</v>
          </cell>
          <cell r="D997">
            <v>37.4405</v>
          </cell>
        </row>
        <row r="998">
          <cell r="A998" t="str">
            <v>001.23.01500</v>
          </cell>
          <cell r="B998" t="str">
            <v>Fornecimento e instalação de eletroduto de pvc 1 1/4"""""""""""""""""""""""""""""""" corrugado tipo kanaflex</v>
          </cell>
          <cell r="C998" t="str">
            <v>ML</v>
          </cell>
          <cell r="D998">
            <v>4.6791999999999998</v>
          </cell>
        </row>
        <row r="999">
          <cell r="A999" t="str">
            <v>001.23.01520</v>
          </cell>
          <cell r="B999" t="str">
            <v>Fornecimento e instalação de eletroduto de pvc 1 1/2"""""""""""""""""""""""""""""""" corrugado tipo kanaflex</v>
          </cell>
          <cell r="C999" t="str">
            <v>ML</v>
          </cell>
          <cell r="D999">
            <v>5.5564</v>
          </cell>
        </row>
        <row r="1000">
          <cell r="A1000" t="str">
            <v>001.23.01540</v>
          </cell>
          <cell r="B1000" t="str">
            <v>Fornecimento e instalação de eletroduto rígido de ferro galvanizado  1/2"""""""""""""""" c/ rosca nas duas pontas em barra de 3 metros - Médio</v>
          </cell>
          <cell r="C1000" t="str">
            <v>UN</v>
          </cell>
          <cell r="D1000">
            <v>19.2606</v>
          </cell>
        </row>
        <row r="1001">
          <cell r="A1001" t="str">
            <v>001.23.01560</v>
          </cell>
          <cell r="B1001" t="str">
            <v>Fornecimento e instalação de eletroduto rígido de ferro galvanizado  3/4"""""""""""""""" c/ rosca nas duas pontas em barra de 3 metros - Médio</v>
          </cell>
          <cell r="C1001" t="str">
            <v>UN</v>
          </cell>
          <cell r="D1001">
            <v>22.956600000000002</v>
          </cell>
        </row>
        <row r="1002">
          <cell r="A1002" t="str">
            <v>001.23.01580</v>
          </cell>
          <cell r="B1002" t="str">
            <v>Fornecimento e instalação de eletroduto rígido de ferro galvanizado 1"""""""""""""""" c/ rosca nas duas pontas em barra de 3 metros - Médio</v>
          </cell>
          <cell r="C1002" t="str">
            <v>UN</v>
          </cell>
          <cell r="D1002">
            <v>26.7681</v>
          </cell>
        </row>
        <row r="1003">
          <cell r="A1003" t="str">
            <v>001.23.01600</v>
          </cell>
          <cell r="B1003" t="str">
            <v>Fornecimento e instalação de eletroduto rígido de ferro galvanizado 1 1/4"""""""""""""""" c/ rosca nas duas pontas em barra de 3 metros - Médio</v>
          </cell>
          <cell r="C1003" t="str">
            <v>UN</v>
          </cell>
          <cell r="D1003">
            <v>37.0914</v>
          </cell>
        </row>
        <row r="1004">
          <cell r="A1004" t="str">
            <v>001.23.01620</v>
          </cell>
          <cell r="B1004" t="str">
            <v>Fornecimento e instalação de eletroduto rígido de ferro galvanizado 1 1/2"""""""""""""""" c/ rosca nas duas pontas em barra de 3 metros - Médio</v>
          </cell>
          <cell r="C1004" t="str">
            <v>UN</v>
          </cell>
          <cell r="D1004">
            <v>50.0274</v>
          </cell>
        </row>
        <row r="1005">
          <cell r="A1005" t="str">
            <v>001.23.01640</v>
          </cell>
          <cell r="B1005" t="str">
            <v>Fornecimento e instalação de eletroduto rígido de ferro galvanizado 2"""""""""""""""" c/ rosca nas duas pontas em barra de 3 metros - Médio</v>
          </cell>
          <cell r="C1005" t="str">
            <v>UN</v>
          </cell>
          <cell r="D1005">
            <v>66.659400000000005</v>
          </cell>
        </row>
        <row r="1006">
          <cell r="A1006" t="str">
            <v>001.23.01660</v>
          </cell>
          <cell r="B1006" t="str">
            <v>Fornecimento e instalação de eletroduto rígido de ferro galvanizado 2 1/2"""""""""""""""" c/ rosca nas duas pontas em barra de 3 metros - Médio</v>
          </cell>
          <cell r="C1006" t="str">
            <v>UN</v>
          </cell>
          <cell r="D1006">
            <v>69.989699999999999</v>
          </cell>
        </row>
        <row r="1007">
          <cell r="A1007" t="str">
            <v>001.23.01680</v>
          </cell>
          <cell r="B1007" t="str">
            <v>Fornecimento e instalação de eletroduto rígido de ferro galvanizado 3"""""""""""""""" c/ rosca nas duas pontas em barra de 3 metros - Médio</v>
          </cell>
          <cell r="C1007" t="str">
            <v>UN</v>
          </cell>
          <cell r="D1007">
            <v>117.5232</v>
          </cell>
        </row>
        <row r="1008">
          <cell r="A1008" t="str">
            <v>001.23.01700</v>
          </cell>
          <cell r="B1008" t="str">
            <v>Fornecimento e instalação de eletroduto rígido de ferro galvanizado 4"""""""""""""""" c/ rosca nas duas pontas em barra de 3 metros - Médio</v>
          </cell>
          <cell r="C1008" t="str">
            <v>UN</v>
          </cell>
          <cell r="D1008">
            <v>149.63220000000001</v>
          </cell>
        </row>
        <row r="1009">
          <cell r="A1009" t="str">
            <v>001.23.01720</v>
          </cell>
          <cell r="B1009" t="str">
            <v>Fornecimento e instalação de eletroduto de pvc  1/2"""""""""""""""""""""""""""""""" roscável anti-chama em barra de 3 m</v>
          </cell>
          <cell r="C1009" t="str">
            <v>UN</v>
          </cell>
          <cell r="D1009">
            <v>5.6654</v>
          </cell>
        </row>
        <row r="1010">
          <cell r="A1010" t="str">
            <v>001.23.01740</v>
          </cell>
          <cell r="B1010" t="str">
            <v>Fornecimento e instalação de eletroduto de pvc  3/4"""""""""""""""""""""""""""""""" roscável anti-chama em barra de 3 m</v>
          </cell>
          <cell r="C1010" t="str">
            <v>UN</v>
          </cell>
          <cell r="D1010">
            <v>6.5053999999999998</v>
          </cell>
        </row>
        <row r="1011">
          <cell r="A1011" t="str">
            <v>001.23.01760</v>
          </cell>
          <cell r="B1011" t="str">
            <v>Fornecimento e instalação de eletroduto de pvc  1"""""""""""""""""""""""""""""""" roscável anti-chama em barra de 3 m</v>
          </cell>
          <cell r="C1011" t="str">
            <v>UN</v>
          </cell>
          <cell r="D1011">
            <v>8.6053999999999995</v>
          </cell>
        </row>
        <row r="1012">
          <cell r="A1012" t="str">
            <v>001.23.01780</v>
          </cell>
          <cell r="B1012" t="str">
            <v>Fornecimento e instalação de eletroduto de pvc  1 1/4"""""""""""""""""""""""""""""""" roscável anti-chama em barra de 3 m</v>
          </cell>
          <cell r="C1012" t="str">
            <v>UN</v>
          </cell>
          <cell r="D1012">
            <v>12.960599999999999</v>
          </cell>
        </row>
        <row r="1013">
          <cell r="A1013" t="str">
            <v>001.23.01800</v>
          </cell>
          <cell r="B1013" t="str">
            <v>Fornecimento e instalação de eletroduto de pvc  1 1/2"""""""""""""""""""""""""""""""" roscável anti-chama em barra de 3 m</v>
          </cell>
          <cell r="C1013" t="str">
            <v>UN</v>
          </cell>
          <cell r="D1013">
            <v>14.4306</v>
          </cell>
        </row>
        <row r="1014">
          <cell r="A1014" t="str">
            <v>001.23.01820</v>
          </cell>
          <cell r="B1014" t="str">
            <v>Fornecimento e instalação de eletroduto de pvc  2"""""""""""""""""""""""""""""""" roscável anti-chama em barra de 3 m</v>
          </cell>
          <cell r="C1014" t="str">
            <v>UN</v>
          </cell>
          <cell r="D1014">
            <v>18.525600000000001</v>
          </cell>
        </row>
        <row r="1015">
          <cell r="A1015" t="str">
            <v>001.23.01840</v>
          </cell>
          <cell r="B1015" t="str">
            <v>Fornecimento e instalação de eletroduto de pvc  2 1/2"""""""""""""""""""""""""""""""" roscável anti-chama em barra de 3 m</v>
          </cell>
          <cell r="C1015" t="str">
            <v>UN</v>
          </cell>
          <cell r="D1015">
            <v>31.5959</v>
          </cell>
        </row>
        <row r="1016">
          <cell r="A1016" t="str">
            <v>001.23.01860</v>
          </cell>
          <cell r="B1016" t="str">
            <v>Fornecimento e instalação de eletroduto de pvc  3"""""""""""""""""""""""""""""""" roscável anti-chama em barra de 3 m</v>
          </cell>
          <cell r="C1016" t="str">
            <v>UN</v>
          </cell>
          <cell r="D1016">
            <v>33.2759</v>
          </cell>
        </row>
        <row r="1017">
          <cell r="A1017" t="str">
            <v>001.23.01880</v>
          </cell>
          <cell r="B1017" t="str">
            <v>Fornecimento e instalação de eletroduto de pvc  4"""""""""""""""""""""""""""""""" roscável anti-chama em barra de 3 m</v>
          </cell>
          <cell r="C1017" t="str">
            <v>UN</v>
          </cell>
          <cell r="D1017">
            <v>41.990900000000003</v>
          </cell>
        </row>
        <row r="1018">
          <cell r="A1018" t="str">
            <v>001.23.01900</v>
          </cell>
          <cell r="B1018" t="str">
            <v>Fornecimento e instalação de conjunto bucha e arruela 1/2"""""""""""""""" de pvc para eletroduto roscável</v>
          </cell>
          <cell r="C1018" t="str">
            <v>CJ</v>
          </cell>
          <cell r="D1018">
            <v>0.49869999999999998</v>
          </cell>
        </row>
        <row r="1019">
          <cell r="A1019" t="str">
            <v>001.23.01920</v>
          </cell>
          <cell r="B1019" t="str">
            <v>Fornecimento e instalação de conjunto bucha e arruela 3/4"""""""""""""""""""""""""""""""" de pvc para eletroduto roscáve</v>
          </cell>
          <cell r="C1019" t="str">
            <v>CJ</v>
          </cell>
          <cell r="D1019">
            <v>0.52869999999999995</v>
          </cell>
        </row>
        <row r="1020">
          <cell r="A1020" t="str">
            <v>001.23.01940</v>
          </cell>
          <cell r="B1020" t="str">
            <v>Fornecimento e instalação de conjunto bucha e arruela 1"""""""""""""""""""""""""""""""" de pvc para eletroduto roscável</v>
          </cell>
          <cell r="C1020" t="str">
            <v>CJ</v>
          </cell>
          <cell r="D1020">
            <v>0.68869999999999998</v>
          </cell>
        </row>
        <row r="1021">
          <cell r="A1021" t="str">
            <v>001.23.01960</v>
          </cell>
          <cell r="B1021" t="str">
            <v>Fornecimento e instalação de conjunto bucha e arruela 1 1/4"""""""""""""""""""""""""""""""" de pvc para eletroduto roscável</v>
          </cell>
          <cell r="C1021" t="str">
            <v>CJ</v>
          </cell>
          <cell r="D1021">
            <v>1.2473000000000001</v>
          </cell>
        </row>
        <row r="1022">
          <cell r="A1022" t="str">
            <v>001.23.01980</v>
          </cell>
          <cell r="B1022" t="str">
            <v>Fornecimento e instalação de conjunto bucha e arruela 1 1/2"""""""""""""""""""""""""""""""",de pvc para eletroduto roscável</v>
          </cell>
          <cell r="C1022" t="str">
            <v>CJ</v>
          </cell>
          <cell r="D1022">
            <v>1.4273</v>
          </cell>
        </row>
        <row r="1023">
          <cell r="A1023" t="str">
            <v>001.23.02000</v>
          </cell>
          <cell r="B1023" t="str">
            <v>Fornecimento e instalação de conjunto bucha e arruela 2"""""""""""""""""""""""""""""""", de pvc para eletroduto roscável</v>
          </cell>
          <cell r="C1023" t="str">
            <v>CJ</v>
          </cell>
          <cell r="D1023">
            <v>1.9173</v>
          </cell>
        </row>
        <row r="1024">
          <cell r="A1024" t="str">
            <v>001.23.02020</v>
          </cell>
          <cell r="B1024" t="str">
            <v>Fornecimento e instalação de conjunto bucha e arruela 2 1/2"""""""""""""""""""""""""""""""", de pvc para eletroduto roscável</v>
          </cell>
          <cell r="C1024" t="str">
            <v>CJ</v>
          </cell>
          <cell r="D1024">
            <v>3.3334999999999999</v>
          </cell>
        </row>
        <row r="1025">
          <cell r="A1025" t="str">
            <v>001.23.02040</v>
          </cell>
          <cell r="B1025" t="str">
            <v>Fornecimento e instalação de conjunto bucha e arruela 3"""""""""""""""""""""""""""""""", de pvc para eletroduto roscável</v>
          </cell>
          <cell r="C1025" t="str">
            <v>CJ</v>
          </cell>
          <cell r="D1025">
            <v>3.9834999999999998</v>
          </cell>
        </row>
        <row r="1026">
          <cell r="A1026" t="str">
            <v>001.23.02060</v>
          </cell>
          <cell r="B1026" t="str">
            <v>Fornecimento e instalação de conjunto bucha e arruela 4"""""""""""""""""""""""""""""""" de pvc para eletroduto roscável</v>
          </cell>
          <cell r="C1026" t="str">
            <v>CJ</v>
          </cell>
          <cell r="D1026">
            <v>5.3135000000000003</v>
          </cell>
        </row>
        <row r="1027">
          <cell r="A1027" t="str">
            <v>001.23.02080</v>
          </cell>
          <cell r="B1027" t="str">
            <v>Fornecimento e instalação de curva 90º de pvc 1/2"""""""""""""""""""""""""""""""" para eletroduto roscável</v>
          </cell>
          <cell r="C1027" t="str">
            <v>UN</v>
          </cell>
          <cell r="D1027">
            <v>1.3548</v>
          </cell>
        </row>
        <row r="1028">
          <cell r="A1028" t="str">
            <v>001.23.02100</v>
          </cell>
          <cell r="B1028" t="str">
            <v>Fornecimento e instalação de curva 90º de pvc 3/4"""""""""""""""""""""""""""""""" para eletroduto roscável</v>
          </cell>
          <cell r="C1028" t="str">
            <v>UN</v>
          </cell>
          <cell r="D1028">
            <v>1.7435</v>
          </cell>
        </row>
        <row r="1029">
          <cell r="A1029" t="str">
            <v>001.23.02120</v>
          </cell>
          <cell r="B1029" t="str">
            <v>Fornecimento e instalação de curva 90º de pvc 1"""""""""""""""""""""""""""""""" para eletroduto roscável</v>
          </cell>
          <cell r="C1029" t="str">
            <v>UN</v>
          </cell>
          <cell r="D1029">
            <v>2.2435</v>
          </cell>
        </row>
        <row r="1030">
          <cell r="A1030" t="str">
            <v>001.23.02140</v>
          </cell>
          <cell r="B1030" t="str">
            <v>Fornecimento e instalação de curva 90º de pvc 1 1/4"""""""""""""""""""""""""""""""" para eletroduto roscável</v>
          </cell>
          <cell r="C1030" t="str">
            <v>UN</v>
          </cell>
          <cell r="D1030">
            <v>2.9321000000000002</v>
          </cell>
        </row>
        <row r="1031">
          <cell r="A1031" t="str">
            <v>001.23.02160</v>
          </cell>
          <cell r="B1031" t="str">
            <v>Fornecimento e instalação de curva 90º de pvc 1 1/2"""""""""""""""""""""""""""""""" para eletroduto roscável</v>
          </cell>
          <cell r="C1031" t="str">
            <v>UN</v>
          </cell>
          <cell r="D1031">
            <v>3.3321000000000001</v>
          </cell>
        </row>
        <row r="1032">
          <cell r="A1032" t="str">
            <v>001.23.02180</v>
          </cell>
          <cell r="B1032" t="str">
            <v>Fornecimento e instalação de curva 90º de pvc 2"""""""""""""""""""""""""""""""" para eletroduto roscável</v>
          </cell>
          <cell r="C1032" t="str">
            <v>UN</v>
          </cell>
          <cell r="D1032">
            <v>4.6321000000000003</v>
          </cell>
        </row>
        <row r="1033">
          <cell r="A1033" t="str">
            <v>001.23.02200</v>
          </cell>
          <cell r="B1033" t="str">
            <v>Fornecimento e instalação de curva 90º de pvc 2 1/2"""""""""""""""""""""""""""""""" para eletroduto roscável</v>
          </cell>
          <cell r="C1033" t="str">
            <v>UN</v>
          </cell>
          <cell r="D1033">
            <v>8.8152000000000008</v>
          </cell>
        </row>
        <row r="1034">
          <cell r="A1034" t="str">
            <v>001.23.02220</v>
          </cell>
          <cell r="B1034" t="str">
            <v>Fornecimento e instalação de curva 90º de pvc 3"""""""""""""""""""""""""""""""" para eletroduto roscável</v>
          </cell>
          <cell r="C1034" t="str">
            <v>UN</v>
          </cell>
          <cell r="D1034">
            <v>9.0152000000000001</v>
          </cell>
        </row>
        <row r="1035">
          <cell r="A1035" t="str">
            <v>001.23.02240</v>
          </cell>
          <cell r="B1035" t="str">
            <v>Fornecimento e instalação de curva 90º de pvc 4"""""""""""""""""""""""""""""""" para eletroduto roscável</v>
          </cell>
          <cell r="C1035" t="str">
            <v>UN</v>
          </cell>
          <cell r="D1035">
            <v>16.915199999999999</v>
          </cell>
        </row>
        <row r="1036">
          <cell r="A1036" t="str">
            <v>001.23.02260</v>
          </cell>
          <cell r="B1036" t="str">
            <v>Fornecimento e instalação de curva 135° de pvc 3/4"""""""""""""""""""""""""""""""" para eletroduto roscável</v>
          </cell>
          <cell r="C1036" t="str">
            <v>UN</v>
          </cell>
          <cell r="D1036">
            <v>2.1435</v>
          </cell>
        </row>
        <row r="1037">
          <cell r="A1037" t="str">
            <v>001.23.02280</v>
          </cell>
          <cell r="B1037" t="str">
            <v>Fornecimento e instalação de curva 135° de pvc 1"""""""""""""""""""""""""""""""" para eletroduto roscável</v>
          </cell>
          <cell r="C1037" t="str">
            <v>UN</v>
          </cell>
          <cell r="D1037">
            <v>3.4634999999999998</v>
          </cell>
        </row>
        <row r="1038">
          <cell r="A1038" t="str">
            <v>001.23.02300</v>
          </cell>
          <cell r="B1038" t="str">
            <v>Fornecimento e instalação de curva 135° de pvc 1 1/4"""""""""""""""""""""""""""""""" para eletroduto roscável</v>
          </cell>
          <cell r="C1038" t="str">
            <v>UN</v>
          </cell>
          <cell r="D1038">
            <v>7.3320999999999996</v>
          </cell>
        </row>
        <row r="1039">
          <cell r="A1039" t="str">
            <v>001.23.02320</v>
          </cell>
          <cell r="B1039" t="str">
            <v>Fornecimento e instalação de curva 135° de pvc 1 1/2"""""""""""""""""""""""""""""""" para eletroduto roscável</v>
          </cell>
          <cell r="C1039" t="str">
            <v>UN</v>
          </cell>
          <cell r="D1039">
            <v>9.6320999999999994</v>
          </cell>
        </row>
        <row r="1040">
          <cell r="A1040" t="str">
            <v>001.23.02340</v>
          </cell>
          <cell r="B1040" t="str">
            <v>Fornecimento e instalação de curva 135° de pvc 2"""""""""""""""""""""""""""""""" para eletroduto roscável</v>
          </cell>
          <cell r="C1040" t="str">
            <v>UN</v>
          </cell>
          <cell r="D1040">
            <v>13.632099999999999</v>
          </cell>
        </row>
        <row r="1041">
          <cell r="A1041" t="str">
            <v>001.23.02360</v>
          </cell>
          <cell r="B1041" t="str">
            <v>Fornecimento e instalação de luva pvc 1/2"""""""""""""""""""""""""""""""" p/ eletroduto roscável</v>
          </cell>
          <cell r="C1041" t="str">
            <v>UN</v>
          </cell>
          <cell r="D1041">
            <v>0.77180000000000004</v>
          </cell>
        </row>
        <row r="1042">
          <cell r="A1042" t="str">
            <v>001.23.02380</v>
          </cell>
          <cell r="B1042" t="str">
            <v>Fornecimento e instalação de luva pvc 3/4"""""""""""""""""""""""""""""""" p/ eletroduto roscável</v>
          </cell>
          <cell r="C1042" t="str">
            <v>UN</v>
          </cell>
          <cell r="D1042">
            <v>0.87180000000000002</v>
          </cell>
        </row>
        <row r="1043">
          <cell r="A1043" t="str">
            <v>001.23.02400</v>
          </cell>
          <cell r="B1043" t="str">
            <v>Fornecimento e instalação de luva pvc 1"""""""""""""""""""""""""""""""" p/ eletruduto roscável</v>
          </cell>
          <cell r="C1043" t="str">
            <v>UN</v>
          </cell>
          <cell r="D1043">
            <v>1.0718000000000001</v>
          </cell>
        </row>
        <row r="1044">
          <cell r="A1044" t="str">
            <v>001.23.02420</v>
          </cell>
          <cell r="B1044" t="str">
            <v>Fornecimento e instalação de luva pvc 1 1/4"""""""""""""""""""""""""""""""" p/ eletroduto roscável</v>
          </cell>
          <cell r="C1044" t="str">
            <v>UN</v>
          </cell>
          <cell r="D1044">
            <v>1.4604999999999999</v>
          </cell>
        </row>
        <row r="1045">
          <cell r="A1045" t="str">
            <v>001.23.02440</v>
          </cell>
          <cell r="B1045" t="str">
            <v>Fornecimento e instalação de luva pvc 1 1/2"""""""""""""""""""""""""""""""" p/ eletroduto roscável</v>
          </cell>
          <cell r="C1045" t="str">
            <v>UN</v>
          </cell>
          <cell r="D1045">
            <v>1.6605000000000001</v>
          </cell>
        </row>
        <row r="1046">
          <cell r="A1046" t="str">
            <v>001.23.02460</v>
          </cell>
          <cell r="B1046" t="str">
            <v>Fornecimento e instalação de luva pvc 2"""""""""""""""""""""""""""""""" p/ eletroduto roscável</v>
          </cell>
          <cell r="C1046" t="str">
            <v>UN</v>
          </cell>
          <cell r="D1046">
            <v>2.5105</v>
          </cell>
        </row>
        <row r="1047">
          <cell r="A1047" t="str">
            <v>001.23.02480</v>
          </cell>
          <cell r="B1047" t="str">
            <v>Fornecimento e instalação de luva pvc 2 1/2"""""""""""""""""""""""""""""""" p/ eletroduto roscável</v>
          </cell>
          <cell r="C1047" t="str">
            <v>UN</v>
          </cell>
          <cell r="D1047">
            <v>6.0635000000000003</v>
          </cell>
        </row>
        <row r="1048">
          <cell r="A1048" t="str">
            <v>001.23.02500</v>
          </cell>
          <cell r="B1048" t="str">
            <v>Fornecimento e instalação de luva pvc 3"""""""""""""""""""""""""""""""" p/ eletroduto roscável</v>
          </cell>
          <cell r="C1048" t="str">
            <v>UN</v>
          </cell>
          <cell r="D1048">
            <v>6.1435000000000004</v>
          </cell>
        </row>
        <row r="1049">
          <cell r="A1049" t="str">
            <v>001.23.02520</v>
          </cell>
          <cell r="B1049" t="str">
            <v>Fornecimento e instalação de luva pvc 4"""""""""""""""""""""""""""""""" p/ eletroduto roscável</v>
          </cell>
          <cell r="C1049" t="str">
            <v>UN</v>
          </cell>
          <cell r="D1049">
            <v>14.9435</v>
          </cell>
        </row>
        <row r="1050">
          <cell r="A1050" t="str">
            <v>001.23.02540</v>
          </cell>
          <cell r="B1050" t="str">
            <v>Fornecimento e instalação de braçadeira 3/4"""""""""""""""""""""""""""""""" p/ eletroduto</v>
          </cell>
          <cell r="C1050" t="str">
            <v>UN</v>
          </cell>
          <cell r="D1050">
            <v>1.5239</v>
          </cell>
        </row>
        <row r="1051">
          <cell r="A1051" t="str">
            <v>001.23.02560</v>
          </cell>
          <cell r="B1051" t="str">
            <v>Fornecimento e instalação de braçadeira 1"""""""""""""""""""""""""""""""" p/ eletroduto</v>
          </cell>
          <cell r="C1051" t="str">
            <v>UN</v>
          </cell>
          <cell r="D1051">
            <v>2.0857000000000001</v>
          </cell>
        </row>
        <row r="1052">
          <cell r="A1052" t="str">
            <v>001.23.02580</v>
          </cell>
          <cell r="B1052" t="str">
            <v>Fornecimento e instalação de braçadeira 1/2"""""""""""""""""""""""""""""""" p/ eletroduto</v>
          </cell>
          <cell r="C1052" t="str">
            <v>UN</v>
          </cell>
          <cell r="D1052">
            <v>1.0939000000000001</v>
          </cell>
        </row>
        <row r="1053">
          <cell r="A1053" t="str">
            <v>001.23.02600</v>
          </cell>
          <cell r="B1053" t="str">
            <v>Fornecimento e instalação de braçadeira 2"""""""""""""""""""""""""""""""" p/ eletroduto</v>
          </cell>
          <cell r="C1053" t="str">
            <v>UN</v>
          </cell>
          <cell r="D1053">
            <v>3.4277000000000002</v>
          </cell>
        </row>
        <row r="1054">
          <cell r="A1054" t="str">
            <v>001.23.02620</v>
          </cell>
          <cell r="B1054" t="str">
            <v>Fornecimento e instalação de braçadeira p/ eletroduto tipo unha de pvc, c/01 parafuso de d=25 mm (3/4"""""""""""""""""""""""""""""""")</v>
          </cell>
          <cell r="C1054" t="str">
            <v>UN</v>
          </cell>
          <cell r="D1054">
            <v>1.5239</v>
          </cell>
        </row>
        <row r="1055">
          <cell r="A1055" t="str">
            <v>001.23.02640</v>
          </cell>
          <cell r="B1055" t="str">
            <v>Fornecimento e instalação de curva de ferro galvanizado de 135º diâm. 4""""""""""""""""""""""""""""""""</v>
          </cell>
          <cell r="C1055" t="str">
            <v>UN</v>
          </cell>
          <cell r="D1055">
            <v>82.299099999999996</v>
          </cell>
        </row>
        <row r="1056">
          <cell r="A1056" t="str">
            <v>001.23.02660</v>
          </cell>
          <cell r="B1056" t="str">
            <v>Fornecimento e instalação de curva de ferro galvanizado de 135º diâm. 3""""""""""""""""""""""""""""""""</v>
          </cell>
          <cell r="C1056" t="str">
            <v>UN</v>
          </cell>
          <cell r="D1056">
            <v>47.337600000000002</v>
          </cell>
        </row>
        <row r="1057">
          <cell r="A1057" t="str">
            <v>001.23.02680</v>
          </cell>
          <cell r="B1057" t="str">
            <v>Fornecimento e instalação de curva de ferro galvanizado de 135º diâm. 2 1/2""""""""""""""""""""""""""""""""</v>
          </cell>
          <cell r="C1057" t="str">
            <v>UN</v>
          </cell>
          <cell r="D1057">
            <v>35.728400000000001</v>
          </cell>
        </row>
        <row r="1058">
          <cell r="A1058" t="str">
            <v>001.23.02700</v>
          </cell>
          <cell r="B1058" t="str">
            <v>Fornecimento e instalação de curva de ferro galvanizado de 135º diâm. 2""""""""""""""""""""""""""""""""</v>
          </cell>
          <cell r="C1058" t="str">
            <v>UN</v>
          </cell>
          <cell r="D1058">
            <v>23.162099999999999</v>
          </cell>
        </row>
        <row r="1059">
          <cell r="A1059" t="str">
            <v>001.23.02720</v>
          </cell>
          <cell r="B1059" t="str">
            <v>Fornecimento e instalação de curva de ferro galvanizado de 135º diâm. 1 1/2""""""""""""""""""""""""""""""""</v>
          </cell>
          <cell r="C1059" t="str">
            <v>UN</v>
          </cell>
          <cell r="D1059">
            <v>15.583500000000001</v>
          </cell>
        </row>
        <row r="1060">
          <cell r="A1060" t="str">
            <v>001.23.02740</v>
          </cell>
          <cell r="B1060" t="str">
            <v>Fornecimento e instalação de curva de ferro galvanizado de 135º diâm. 1 1/4'</v>
          </cell>
          <cell r="C1060" t="str">
            <v>UN</v>
          </cell>
          <cell r="D1060">
            <v>8.7914999999999992</v>
          </cell>
        </row>
        <row r="1061">
          <cell r="A1061" t="str">
            <v>001.23.02760</v>
          </cell>
          <cell r="B1061" t="str">
            <v>Fornecimento e instalação de curva de ferro galvanizado de 135º diâm. 1""""""""""""""""""""""""""""""""</v>
          </cell>
          <cell r="C1061" t="str">
            <v>UN</v>
          </cell>
          <cell r="D1061">
            <v>5.2633999999999999</v>
          </cell>
        </row>
        <row r="1062">
          <cell r="A1062" t="str">
            <v>001.23.02780</v>
          </cell>
          <cell r="B1062" t="str">
            <v>Fornecimento e instalação de curva de ferro galvanizado de 135º diâm. 3/4'</v>
          </cell>
          <cell r="C1062" t="str">
            <v>UN</v>
          </cell>
          <cell r="D1062">
            <v>3.391</v>
          </cell>
        </row>
        <row r="1063">
          <cell r="A1063" t="str">
            <v>001.23.02800</v>
          </cell>
          <cell r="B1063" t="str">
            <v>Fornecimento e instalação de curva de ferro galvanizado de 90º diâm. 3""""""""""""""""""""""""""""""""</v>
          </cell>
          <cell r="C1063" t="str">
            <v>UN</v>
          </cell>
          <cell r="D1063">
            <v>48.0869</v>
          </cell>
        </row>
        <row r="1064">
          <cell r="A1064" t="str">
            <v>001.23.02820</v>
          </cell>
          <cell r="B1064" t="str">
            <v>Fornecimento e instalação de curva de ferro galvanizado de 90º diâm. 2 1/2""""""""""""""""""""""""""""""""</v>
          </cell>
          <cell r="C1064" t="str">
            <v>UN</v>
          </cell>
          <cell r="D1064">
            <v>23.6769</v>
          </cell>
        </row>
        <row r="1065">
          <cell r="A1065" t="str">
            <v>001.23.02840</v>
          </cell>
          <cell r="B1065" t="str">
            <v>Fornecimento e instalação de curva de ferro galvanizado de 90º diâm. 2""""""""""""""""""""""""""""""""</v>
          </cell>
          <cell r="C1065" t="str">
            <v>UN</v>
          </cell>
          <cell r="D1065">
            <v>18.685199999999998</v>
          </cell>
        </row>
        <row r="1066">
          <cell r="A1066" t="str">
            <v>001.23.02860</v>
          </cell>
          <cell r="B1066" t="str">
            <v>Fornecimento e instalação de curva de ferro galvanizado de 90º diâm. 1 1/2""""""""""""""""""""""""""""""""</v>
          </cell>
          <cell r="C1066" t="str">
            <v>UN</v>
          </cell>
          <cell r="D1066">
            <v>10.215199999999999</v>
          </cell>
        </row>
        <row r="1067">
          <cell r="A1067" t="str">
            <v>001.23.02880</v>
          </cell>
          <cell r="B1067" t="str">
            <v>Fornecimento e instalação de curva de ferro galvanizado de 90º diâm. 1 1/4""""""""""""""""""""""""""""""""</v>
          </cell>
          <cell r="C1067" t="str">
            <v>UN</v>
          </cell>
          <cell r="D1067">
            <v>8.1251999999999995</v>
          </cell>
        </row>
        <row r="1068">
          <cell r="A1068" t="str">
            <v>001.23.02900</v>
          </cell>
          <cell r="B1068" t="str">
            <v>Fornecimento e instalação de curva de ferro galvanizado de 90º diâm. 1""""""""""""""""""""""""""""""""</v>
          </cell>
          <cell r="C1068" t="str">
            <v>UN</v>
          </cell>
          <cell r="D1068">
            <v>4.3535000000000004</v>
          </cell>
        </row>
        <row r="1069">
          <cell r="A1069" t="str">
            <v>001.23.02920</v>
          </cell>
          <cell r="B1069" t="str">
            <v>Fornecimento e instalação de curva de ferro galvanizado de 90º diâm. 3/4""""""""""""""""""""""""""""""""</v>
          </cell>
          <cell r="C1069" t="str">
            <v>UN</v>
          </cell>
          <cell r="D1069">
            <v>3.4735</v>
          </cell>
        </row>
        <row r="1070">
          <cell r="A1070" t="str">
            <v>001.23.02940</v>
          </cell>
          <cell r="B1070" t="str">
            <v>Fornecimento e instalação de curva de ferro galvanizado de 90º diâm. 1/2""""""""""""""""""""""""""""""""</v>
          </cell>
          <cell r="C1070" t="str">
            <v>UN</v>
          </cell>
          <cell r="D1070">
            <v>2.8134999999999999</v>
          </cell>
        </row>
        <row r="1071">
          <cell r="A1071" t="str">
            <v>001.23.02960</v>
          </cell>
          <cell r="B1071" t="str">
            <v>Fornecimento e instalação de luva de ferro galvanizado  1/2""""""""""""""""""""""""""""""""</v>
          </cell>
          <cell r="C1071" t="str">
            <v>UN</v>
          </cell>
          <cell r="D1071">
            <v>1.4618</v>
          </cell>
        </row>
        <row r="1072">
          <cell r="A1072" t="str">
            <v>001.23.02980</v>
          </cell>
          <cell r="B1072" t="str">
            <v>Fornecimento e instalação de luva de ferro galvanizado  3/4""""""""""""""""""""""""""""""""</v>
          </cell>
          <cell r="C1072" t="str">
            <v>UN</v>
          </cell>
          <cell r="D1072">
            <v>1.5718000000000001</v>
          </cell>
        </row>
        <row r="1073">
          <cell r="A1073" t="str">
            <v>001.23.03000</v>
          </cell>
          <cell r="B1073" t="str">
            <v>Fornecimento e instalação de luva de ferro galvanizado  1""""""""""""""""""""""""""""""""</v>
          </cell>
          <cell r="C1073" t="str">
            <v>UN</v>
          </cell>
          <cell r="D1073">
            <v>1.9017999999999999</v>
          </cell>
        </row>
        <row r="1074">
          <cell r="A1074" t="str">
            <v>001.23.03020</v>
          </cell>
          <cell r="B1074" t="str">
            <v>Fornecimento e instalação de luva de ferro galvanizado  1 1/4""""""""""""""""""""""""""""""""</v>
          </cell>
          <cell r="C1074" t="str">
            <v>UN</v>
          </cell>
          <cell r="D1074">
            <v>2.9704999999999999</v>
          </cell>
        </row>
        <row r="1075">
          <cell r="A1075" t="str">
            <v>001.23.03040</v>
          </cell>
          <cell r="B1075" t="str">
            <v>Fornecimento e instalação de luva de ferro galvanizado  1 1/2</v>
          </cell>
          <cell r="C1075" t="str">
            <v>UN</v>
          </cell>
          <cell r="D1075">
            <v>3.5205000000000002</v>
          </cell>
        </row>
        <row r="1076">
          <cell r="A1076" t="str">
            <v>001.23.03060</v>
          </cell>
          <cell r="B1076" t="str">
            <v>Fornecimento e instalação de luva de ferro galvanizado  2""""""""""""""""""""""""""""""""</v>
          </cell>
          <cell r="C1076" t="str">
            <v>UN</v>
          </cell>
          <cell r="D1076">
            <v>5.8304999999999998</v>
          </cell>
        </row>
        <row r="1077">
          <cell r="A1077" t="str">
            <v>001.23.03080</v>
          </cell>
          <cell r="B1077" t="str">
            <v>Fornecimento e instalação de luva de ferro galvanizado  2 1/2""""""""""""""""""""""""""""""""</v>
          </cell>
          <cell r="C1077" t="str">
            <v>UN</v>
          </cell>
          <cell r="D1077">
            <v>5.8235000000000001</v>
          </cell>
        </row>
        <row r="1078">
          <cell r="A1078" t="str">
            <v>001.23.03100</v>
          </cell>
          <cell r="B1078" t="str">
            <v>Fornecimento e instalação de luva de ferro galvanizado  3""""""""""""""""""""""""""""""""</v>
          </cell>
          <cell r="C1078" t="str">
            <v>UN</v>
          </cell>
          <cell r="D1078">
            <v>7.7634999999999996</v>
          </cell>
        </row>
        <row r="1079">
          <cell r="A1079" t="str">
            <v>001.23.03120</v>
          </cell>
          <cell r="B1079" t="str">
            <v>Fornecimento e instalação de luva de ferro galvanizado  4""""""""""""""""""""""""""""""""</v>
          </cell>
          <cell r="C1079" t="str">
            <v>UN</v>
          </cell>
          <cell r="D1079">
            <v>10.843500000000001</v>
          </cell>
        </row>
        <row r="1080">
          <cell r="A1080" t="str">
            <v>001.23.03140</v>
          </cell>
          <cell r="B1080" t="str">
            <v>Fornecimento e Instalação de Bucha e Arruela D.1/2 pol p/ Eletroduto - Alumínio</v>
          </cell>
          <cell r="C1080" t="str">
            <v>UN</v>
          </cell>
          <cell r="D1080">
            <v>0.57469999999999999</v>
          </cell>
        </row>
        <row r="1081">
          <cell r="A1081" t="str">
            <v>001.23.03160</v>
          </cell>
          <cell r="B1081" t="str">
            <v>Fornecimento e Instalação de Bucha e Arruela D.3/4pol p/ Eletroduto - Alumínio</v>
          </cell>
          <cell r="C1081" t="str">
            <v>UN</v>
          </cell>
          <cell r="D1081">
            <v>0.60870000000000002</v>
          </cell>
        </row>
        <row r="1082">
          <cell r="A1082" t="str">
            <v>001.23.03180</v>
          </cell>
          <cell r="B1082" t="str">
            <v>Fornecimento e Instalação de Bucha e Arruela D.1pol p/ Eletroduto - Alumínio</v>
          </cell>
          <cell r="C1082" t="str">
            <v>UN</v>
          </cell>
          <cell r="D1082">
            <v>0.84870000000000001</v>
          </cell>
        </row>
        <row r="1083">
          <cell r="A1083" t="str">
            <v>001.23.03200</v>
          </cell>
          <cell r="B1083" t="str">
            <v>Fornecimento e Instalação de Bucha e Arruela D 1.5pol p/ Eletroduto - Alumínio</v>
          </cell>
          <cell r="C1083" t="str">
            <v>UN</v>
          </cell>
          <cell r="D1083">
            <v>1.5173000000000001</v>
          </cell>
        </row>
        <row r="1084">
          <cell r="A1084" t="str">
            <v>001.23.03220</v>
          </cell>
          <cell r="B1084" t="str">
            <v>Fornecimento e Instalação de Bucha e Arruela D.2pol p/ Eletroduto - Alumínio</v>
          </cell>
          <cell r="C1084" t="str">
            <v>UN</v>
          </cell>
          <cell r="D1084">
            <v>2.0573000000000001</v>
          </cell>
        </row>
        <row r="1085">
          <cell r="A1085" t="str">
            <v>001.23.03240</v>
          </cell>
          <cell r="B1085" t="str">
            <v>Fornecimento e Instalação de Bucha e Arruela D.2.5pol p/ Eletroduto - Alumínio</v>
          </cell>
          <cell r="C1085" t="str">
            <v>UN</v>
          </cell>
          <cell r="D1085">
            <v>3.7235</v>
          </cell>
        </row>
        <row r="1086">
          <cell r="A1086" t="str">
            <v>001.23.03260</v>
          </cell>
          <cell r="B1086" t="str">
            <v>Fornecimento e Instalação de Bucha e Arruela D.3pol p/ Eletroduto - Alumínio</v>
          </cell>
          <cell r="C1086" t="str">
            <v>UN</v>
          </cell>
          <cell r="D1086">
            <v>4.0635000000000003</v>
          </cell>
        </row>
        <row r="1087">
          <cell r="A1087" t="str">
            <v>001.23.03280</v>
          </cell>
          <cell r="B1087" t="str">
            <v>Fornecimento e Instalação de Bucha e Arruela D.4pol p/ Eletroduto - Alumínio</v>
          </cell>
          <cell r="C1087" t="str">
            <v>UN</v>
          </cell>
          <cell r="D1087">
            <v>6.4634999999999998</v>
          </cell>
        </row>
        <row r="1088">
          <cell r="A1088" t="str">
            <v>001.23.03300</v>
          </cell>
          <cell r="B1088" t="str">
            <v>Fornecimento e Instalação de Condulete de Alumínio Tipo """"""""""""""""C"""""""""""""""", S/ Tampa, 1/2""""""""""""""""</v>
          </cell>
          <cell r="C1088" t="str">
            <v>UN</v>
          </cell>
          <cell r="D1088">
            <v>5.8068999999999997</v>
          </cell>
        </row>
        <row r="1089">
          <cell r="A1089" t="str">
            <v>001.23.03320</v>
          </cell>
          <cell r="B1089" t="str">
            <v>Fornecimento e Instalação de Condulete de Alumínio Tipo """"""""""""""""C"""""""""""""""", S/ Tampa, 3/4""""""""""""""""</v>
          </cell>
          <cell r="C1089" t="str">
            <v>UN</v>
          </cell>
          <cell r="D1089">
            <v>5.8068999999999997</v>
          </cell>
        </row>
        <row r="1090">
          <cell r="A1090" t="str">
            <v>001.23.03340</v>
          </cell>
          <cell r="B1090" t="str">
            <v>Fornecimento e Instalação de Condulete de Alumínio Tipo """"""""""""""""C"""""""""""""""", S/ Tampa, 1""""""""""""""""</v>
          </cell>
          <cell r="C1090" t="str">
            <v>UN</v>
          </cell>
          <cell r="D1090">
            <v>8.5368999999999993</v>
          </cell>
        </row>
        <row r="1091">
          <cell r="A1091" t="str">
            <v>001.23.03360</v>
          </cell>
          <cell r="B1091" t="str">
            <v>Fornecimento e Instalação de Condulete de Alumínio Tipo """"""""""""""""C"""""""""""""""", C/ Tampa, 1 1/4""""""""""""""""</v>
          </cell>
          <cell r="C1091" t="str">
            <v>UN</v>
          </cell>
          <cell r="D1091">
            <v>14.6774</v>
          </cell>
        </row>
        <row r="1092">
          <cell r="A1092" t="str">
            <v>001.23.03380</v>
          </cell>
          <cell r="B1092" t="str">
            <v>Fornecimento e Instalação de Condulete de Alumínio Tipo """"""""""""""""C"""""""""""""""", C/ Tampa, 1 1/2""""""""""""""""</v>
          </cell>
          <cell r="C1092" t="str">
            <v>UN</v>
          </cell>
          <cell r="D1092">
            <v>19.7074</v>
          </cell>
        </row>
        <row r="1093">
          <cell r="A1093" t="str">
            <v>001.23.03400</v>
          </cell>
          <cell r="B1093" t="str">
            <v>Fornecimento e Instalação de Condulete de Alumínio Tipo """"""""""""""""C"""""""""""""""", C/ Tampa, 2""""""""""""""""</v>
          </cell>
          <cell r="C1093" t="str">
            <v>UN</v>
          </cell>
          <cell r="D1093">
            <v>27.227399999999999</v>
          </cell>
        </row>
        <row r="1094">
          <cell r="A1094" t="str">
            <v>001.23.03420</v>
          </cell>
          <cell r="B1094" t="str">
            <v>Fornecimento e Instalação de Condulete de Alumínio Tipo """"""""""""""""C"""""""""""""""", C/ Tampa, 2  1/2""""""""""""""""</v>
          </cell>
          <cell r="C1094" t="str">
            <v>UN</v>
          </cell>
          <cell r="D1094">
            <v>55.0274</v>
          </cell>
        </row>
        <row r="1095">
          <cell r="A1095" t="str">
            <v>001.23.03440</v>
          </cell>
          <cell r="B1095" t="str">
            <v>Fornecimento e Instalação de Condulete de Alumínio Tipo """"""""""""""""E"""""""""""""""", S/ Tampa, 1/2""""""""""""""""</v>
          </cell>
          <cell r="C1095" t="str">
            <v>UN</v>
          </cell>
          <cell r="D1095">
            <v>5.4569000000000001</v>
          </cell>
        </row>
        <row r="1096">
          <cell r="A1096" t="str">
            <v>001.23.03460</v>
          </cell>
          <cell r="B1096" t="str">
            <v>Fornecimento e Instalação de Condulete de Alumínio Tipo """"""""""""""""E"""""""""""""""", S/ Tampa, 3/4""""""""""""""""</v>
          </cell>
          <cell r="C1096" t="str">
            <v>UN</v>
          </cell>
          <cell r="D1096">
            <v>5.4569000000000001</v>
          </cell>
        </row>
        <row r="1097">
          <cell r="A1097" t="str">
            <v>001.23.03480</v>
          </cell>
          <cell r="B1097" t="str">
            <v>Fornecimento e Instalação de Condulete de Alumínio Tipo """"""""""""""""E"""""""""""""""", S/ Tampa, 1""""""""""""""""</v>
          </cell>
          <cell r="C1097" t="str">
            <v>UN</v>
          </cell>
          <cell r="D1097">
            <v>7.6069000000000004</v>
          </cell>
        </row>
        <row r="1098">
          <cell r="A1098" t="str">
            <v>001.23.03500</v>
          </cell>
          <cell r="B1098" t="str">
            <v>Fornecimento e Instalação de Condulete de Alumínio Tipo """"""""""""""""E"""""""""""""""", C/ Tampa, 1 1/4""""""""""""""""</v>
          </cell>
          <cell r="C1098" t="str">
            <v>UN</v>
          </cell>
          <cell r="D1098">
            <v>13.647399999999999</v>
          </cell>
        </row>
        <row r="1099">
          <cell r="A1099" t="str">
            <v>001.23.03520</v>
          </cell>
          <cell r="B1099" t="str">
            <v>Fornecimento e Instalação de Condulete de Alumínio Tipo """"""""""""""""E"""""""""""""""", C/ Tampa, 1 1/2""""""""""""""""</v>
          </cell>
          <cell r="C1099" t="str">
            <v>UN</v>
          </cell>
          <cell r="D1099">
            <v>18.657399999999999</v>
          </cell>
        </row>
        <row r="1100">
          <cell r="A1100" t="str">
            <v>001.23.03540</v>
          </cell>
          <cell r="B1100" t="str">
            <v>Fornecimento e Instalação de Condulete de Alumínio Tipo """"""""""""""""E"""""""""""""""", C/ Tampa, 2""""""""""""""""</v>
          </cell>
          <cell r="C1100" t="str">
            <v>UN</v>
          </cell>
          <cell r="D1100">
            <v>26.327400000000001</v>
          </cell>
        </row>
        <row r="1101">
          <cell r="A1101" t="str">
            <v>001.23.03560</v>
          </cell>
          <cell r="B1101" t="str">
            <v>Fornecimento e Instalação de Condulete de Alumínio Tipo """"""""""""""""E"""""""""""""""", C/ Tampa, 2  1/2""""""""""""""""</v>
          </cell>
          <cell r="C1101" t="str">
            <v>UN</v>
          </cell>
          <cell r="D1101">
            <v>55.0274</v>
          </cell>
        </row>
        <row r="1102">
          <cell r="A1102" t="str">
            <v>001.23.03580</v>
          </cell>
          <cell r="B1102" t="str">
            <v>Fornecimento e Instalação de Condulete de Alumínio Tipo """"""""""""""""LL"""""""""""""""",""""""""""""""""LB"""""""""""""""", """"""""""""""""LR"""""""""""""""", S/ Tampa, 1/2""""""""""""""""</v>
          </cell>
          <cell r="C1102" t="str">
            <v>UN</v>
          </cell>
          <cell r="D1102">
            <v>5.8068999999999997</v>
          </cell>
        </row>
        <row r="1103">
          <cell r="A1103" t="str">
            <v>001.23.03600</v>
          </cell>
          <cell r="B1103" t="str">
            <v>Fornecimento e Instalação de Condulete de Alumínio Tipo """"""""""""""""LL"""""""""""""""",""""""""""""""""LB"""""""""""""""", """"""""""""""""LR"""""""""""""""", S/ Tampa, 3/4""""""""""""""""</v>
          </cell>
          <cell r="C1103" t="str">
            <v>UN</v>
          </cell>
          <cell r="D1103">
            <v>5.8068999999999997</v>
          </cell>
        </row>
        <row r="1104">
          <cell r="A1104" t="str">
            <v>001.23.03620</v>
          </cell>
          <cell r="B1104" t="str">
            <v>Fornecimento e Instalação de Condulete de Alumínio Tipo  """"""""""""""""LL"""""""""""""""",""""""""""""""""LB"""""""""""""""", """"""""""""""""LR"""""""""""""""", S/ Tampa, 1""""""""""""""""</v>
          </cell>
          <cell r="C1104" t="str">
            <v>UN</v>
          </cell>
          <cell r="D1104">
            <v>8.5368999999999993</v>
          </cell>
        </row>
        <row r="1105">
          <cell r="A1105" t="str">
            <v>001.23.03640</v>
          </cell>
          <cell r="B1105" t="str">
            <v>Fornecimento e Instalação de Condulete de Alumínio Tipo """"""""""""""""LL"""""""""""""""",""""""""""""""""LB"""""""""""""""", """"""""""""""""LR"""""""""""""""", C/ Tampa, 1 1/4""""""""""""""""</v>
          </cell>
          <cell r="C1105" t="str">
            <v>UN</v>
          </cell>
          <cell r="D1105">
            <v>14.6774</v>
          </cell>
        </row>
        <row r="1106">
          <cell r="A1106" t="str">
            <v>001.23.03660</v>
          </cell>
          <cell r="B1106" t="str">
            <v>Fornecimento e Instalação de Condulete de Alumínio Tipo  """"""""""""""""LL"""""""""""""""",""""""""""""""""LB"""""""""""""""", """"""""""""""""LR"""""""""""""""", C/ Tampa, 1 1/2""""""""""""""""</v>
          </cell>
          <cell r="C1106" t="str">
            <v>UN</v>
          </cell>
          <cell r="D1106">
            <v>19.7074</v>
          </cell>
        </row>
        <row r="1107">
          <cell r="A1107" t="str">
            <v>001.23.03680</v>
          </cell>
          <cell r="B1107" t="str">
            <v>Fornecimento e Instalação de Condulete de Alumínio Tipo  """"""""""""""""LL"""""""""""""""",""""""""""""""""LB"""""""""""""""", """"""""""""""""LR"""""""""""""""", C/ Tampa, 2""""""""""""""""</v>
          </cell>
          <cell r="C1107" t="str">
            <v>UN</v>
          </cell>
          <cell r="D1107">
            <v>27.227399999999999</v>
          </cell>
        </row>
        <row r="1108">
          <cell r="A1108" t="str">
            <v>001.23.03700</v>
          </cell>
          <cell r="B1108" t="str">
            <v>Fornecimento e Instalação de Condulete de Alumínio Tipo  """"""""""""""""LL"""""""""""""""",""""""""""""""""LB"""""""""""""""", """"""""""""""""LR"""""""""""""""", C/ Tampa, 2  1/2""""""""""""""""</v>
          </cell>
          <cell r="C1108" t="str">
            <v>UN</v>
          </cell>
          <cell r="D1108">
            <v>55.287399999999998</v>
          </cell>
        </row>
        <row r="1109">
          <cell r="A1109" t="str">
            <v>001.23.03720</v>
          </cell>
          <cell r="B1109" t="str">
            <v>Fornecimento e Instalação de Condulete de Alumínio Tipo """"""""""""""""TB"""""""""""""""", S/ Tampa, 1/2""""""""""""""""</v>
          </cell>
          <cell r="C1109" t="str">
            <v>UN</v>
          </cell>
          <cell r="D1109">
            <v>6.5087000000000002</v>
          </cell>
        </row>
        <row r="1110">
          <cell r="A1110" t="str">
            <v>001.23.03740</v>
          </cell>
          <cell r="B1110" t="str">
            <v>Fornecimento e Instalação de Condulete de Alumínio Tipo """"""""""""""""TB"""""""""""""""", S/ Tampa, 3/4""""""""""""""""</v>
          </cell>
          <cell r="C1110" t="str">
            <v>UN</v>
          </cell>
          <cell r="D1110">
            <v>6.5087000000000002</v>
          </cell>
        </row>
        <row r="1111">
          <cell r="A1111" t="str">
            <v>001.23.03760</v>
          </cell>
          <cell r="B1111" t="str">
            <v>Fornecimento e Instalação de Condulete de Alumínio Tipo """"""""""""""""TB"""""""""""""""", S/ Tampa, 1""""""""""""""""</v>
          </cell>
          <cell r="C1111" t="str">
            <v>UN</v>
          </cell>
          <cell r="D1111">
            <v>9.5587</v>
          </cell>
        </row>
        <row r="1112">
          <cell r="A1112" t="str">
            <v>001.23.03780</v>
          </cell>
          <cell r="B1112" t="str">
            <v>Fornecimento e Instalação de Condulete de Alumínio Tipo """"""""""""""""TB"""""""""""""""", C/ Tampa, 1 1/4""""""""""""""""</v>
          </cell>
          <cell r="C1112" t="str">
            <v>UN</v>
          </cell>
          <cell r="D1112">
            <v>16.3492</v>
          </cell>
        </row>
        <row r="1113">
          <cell r="A1113" t="str">
            <v>001.23.03800</v>
          </cell>
          <cell r="B1113" t="str">
            <v>Fornecimento e Instalação de Condulete de Alumínio Tipo """"""""""""""""TB"""""""""""""""", C/ Tampa, 1 1/2""""""""""""""""</v>
          </cell>
          <cell r="C1113" t="str">
            <v>UN</v>
          </cell>
          <cell r="D1113">
            <v>22.049199999999999</v>
          </cell>
        </row>
        <row r="1114">
          <cell r="A1114" t="str">
            <v>001.23.03820</v>
          </cell>
          <cell r="B1114" t="str">
            <v>Fornecimento e Instalação de Condulete de Alumínio Tipo """"""""""""""""TB"""""""""""""""", C/ Tampa, 2""""""""""""""""</v>
          </cell>
          <cell r="C1114" t="str">
            <v>UN</v>
          </cell>
          <cell r="D1114">
            <v>29.569199999999999</v>
          </cell>
        </row>
        <row r="1115">
          <cell r="A1115" t="str">
            <v>001.23.03840</v>
          </cell>
          <cell r="B1115" t="str">
            <v>Fornecimento e Instalação de Condulete de Alumínio Tipo """"""""""""""""TB"""""""""""""""", C/ Tampa, 2  1/2""""""""""""""""</v>
          </cell>
          <cell r="C1115" t="str">
            <v>UN</v>
          </cell>
          <cell r="D1115">
            <v>59.529200000000003</v>
          </cell>
        </row>
        <row r="1116">
          <cell r="A1116" t="str">
            <v>001.23.03860</v>
          </cell>
          <cell r="B1116" t="str">
            <v>Fornecimento e Instalação de Condulete de Alumínio Tipo """"""""""""""""X"""""""""""""""", S/ Tampa, 1/2""""""""""""""""</v>
          </cell>
          <cell r="C1116" t="str">
            <v>UN</v>
          </cell>
          <cell r="D1116">
            <v>6.3468999999999998</v>
          </cell>
        </row>
        <row r="1117">
          <cell r="A1117" t="str">
            <v>001.23.03880</v>
          </cell>
          <cell r="B1117" t="str">
            <v>Fornecimento e Instalação de Condulete de Alumínio Tipo """"""""""""""""X"""""""""""""""", S/ Tampa, 3/4""""""""""""""""</v>
          </cell>
          <cell r="C1117" t="str">
            <v>UN</v>
          </cell>
          <cell r="D1117">
            <v>6.3468999999999998</v>
          </cell>
        </row>
        <row r="1118">
          <cell r="A1118" t="str">
            <v>001.23.03900</v>
          </cell>
          <cell r="B1118" t="str">
            <v>Fornecimento e Instalação de Condulete de Alumínio Tipo """"""""""""""""X"""""""""""""""", S/ Tampa, 1""""""""""""""""</v>
          </cell>
          <cell r="C1118" t="str">
            <v>UN</v>
          </cell>
          <cell r="D1118">
            <v>9.3768999999999991</v>
          </cell>
        </row>
        <row r="1119">
          <cell r="A1119" t="str">
            <v>001.23.03920</v>
          </cell>
          <cell r="B1119" t="str">
            <v>Fornecimento e Instalação de Condulete de Alumínio Tipo """"""""""""""""X"""""""""""""""", C/ Tampa, 1 1/4""""""""""""""""</v>
          </cell>
          <cell r="C1119" t="str">
            <v>UN</v>
          </cell>
          <cell r="D1119">
            <v>16.4374</v>
          </cell>
        </row>
        <row r="1120">
          <cell r="A1120" t="str">
            <v>001.23.03940</v>
          </cell>
          <cell r="B1120" t="str">
            <v>Fornecimento e Instalação de Condulete de Alumínio Tipo """"""""""""""""X"""""""""""""""", C/ Tampa, 1 1/2""""""""""""""""</v>
          </cell>
          <cell r="C1120" t="str">
            <v>UN</v>
          </cell>
          <cell r="D1120">
            <v>23.397400000000001</v>
          </cell>
        </row>
        <row r="1121">
          <cell r="A1121" t="str">
            <v>001.23.03960</v>
          </cell>
          <cell r="B1121" t="str">
            <v>Fornecimento e Instalação de Condulete de Alumínio Tipo """"""""""""""""X"""""""""""""""", C/ Tampa, 2""""""""""""""""</v>
          </cell>
          <cell r="C1121" t="str">
            <v>UN</v>
          </cell>
          <cell r="D1121">
            <v>31.337399999999999</v>
          </cell>
        </row>
        <row r="1122">
          <cell r="A1122" t="str">
            <v>001.23.03980</v>
          </cell>
          <cell r="B1122" t="str">
            <v>Fornecimento e Instalação de Condulete de Alumínio Tipo """"""""""""""""X"""""""""""""""", C/ Tampa, 2  1/2""""""""""""""""</v>
          </cell>
          <cell r="C1122" t="str">
            <v>UN</v>
          </cell>
          <cell r="D1122">
            <v>59.057400000000001</v>
          </cell>
        </row>
        <row r="1123">
          <cell r="A1123" t="str">
            <v>001.23.04000</v>
          </cell>
          <cell r="B1123" t="str">
            <v>Fornecimento e Instalação de Tampa de Alumínio 1/2"""""""""""""""" e 3/4"""""""""""""""" 1 P</v>
          </cell>
          <cell r="C1123" t="str">
            <v>UN</v>
          </cell>
          <cell r="D1123">
            <v>1.8005</v>
          </cell>
        </row>
        <row r="1124">
          <cell r="A1124" t="str">
            <v>001.23.04020</v>
          </cell>
          <cell r="B1124" t="str">
            <v>Fornecimento e Instalação de Tampa de Alumínio 1/2"""""""""""""""" e 3/4"""""""""""""""" 1 P Red.</v>
          </cell>
          <cell r="C1124" t="str">
            <v>UN</v>
          </cell>
          <cell r="D1124">
            <v>1.8005</v>
          </cell>
        </row>
        <row r="1125">
          <cell r="A1125" t="str">
            <v>001.23.04040</v>
          </cell>
          <cell r="B1125" t="str">
            <v>Fornecimento e Instalação de Tampa de Alumínio 1/2"""""""""""""""" e 3/4"""""""""""""""" 1 P RJ 45</v>
          </cell>
          <cell r="C1125" t="str">
            <v>UN</v>
          </cell>
          <cell r="D1125">
            <v>1.8005</v>
          </cell>
        </row>
        <row r="1126">
          <cell r="A1126" t="str">
            <v>001.23.04060</v>
          </cell>
          <cell r="B1126" t="str">
            <v>Fornecimento e Instalação de Tampa de Alumínio 1/2"""""""""""""""" e 3/4"""""""""""""""" 2 P</v>
          </cell>
          <cell r="C1126" t="str">
            <v>UN</v>
          </cell>
          <cell r="D1126">
            <v>1.8005</v>
          </cell>
        </row>
        <row r="1127">
          <cell r="A1127" t="str">
            <v>001.23.04080</v>
          </cell>
          <cell r="B1127" t="str">
            <v>Fornecimento e Instalação de Tampa de Alumínio 1/2"""""""""""""""" e 3/4"""""""""""""""" 2 P Sep.</v>
          </cell>
          <cell r="C1127" t="str">
            <v>UN</v>
          </cell>
          <cell r="D1127">
            <v>1.8005</v>
          </cell>
        </row>
        <row r="1128">
          <cell r="A1128" t="str">
            <v>001.23.04100</v>
          </cell>
          <cell r="B1128" t="str">
            <v>Fornecimento e Instalação de Tampa de Alumínio 1/2"""""""""""""""" e 3/4"""""""""""""""" 2 P RJ 45</v>
          </cell>
          <cell r="C1128" t="str">
            <v>UN</v>
          </cell>
          <cell r="D1128">
            <v>1.8005</v>
          </cell>
        </row>
        <row r="1129">
          <cell r="A1129" t="str">
            <v>001.23.04120</v>
          </cell>
          <cell r="B1129" t="str">
            <v>Fornecimento e Instalação de Tampa de Alumínio 1/2"""""""""""""""" e 3/4"""""""""""""""" 3 P</v>
          </cell>
          <cell r="C1129" t="str">
            <v>UN</v>
          </cell>
          <cell r="D1129">
            <v>1.8005</v>
          </cell>
        </row>
        <row r="1130">
          <cell r="A1130" t="str">
            <v>001.23.04140</v>
          </cell>
          <cell r="B1130" t="str">
            <v>Fornecimento e Instalação de Tampa de Alumínio 1/2"""""""""""""""" e 3/4"""""""""""""""" Cega</v>
          </cell>
          <cell r="C1130" t="str">
            <v>UN</v>
          </cell>
          <cell r="D1130">
            <v>1.8005</v>
          </cell>
        </row>
        <row r="1131">
          <cell r="A1131" t="str">
            <v>001.23.04160</v>
          </cell>
          <cell r="B1131" t="str">
            <v>Fornecimento e Instalação de Tampa de Alumínio 1"""""""""""""""" 1 P</v>
          </cell>
          <cell r="C1131" t="str">
            <v>UN</v>
          </cell>
          <cell r="D1131">
            <v>2.2805</v>
          </cell>
        </row>
        <row r="1132">
          <cell r="A1132" t="str">
            <v>001.23.04180</v>
          </cell>
          <cell r="B1132" t="str">
            <v>Fornecimento e Instalação de Tampa de Alumínio 1"""""""""""""""" 1 P Red.</v>
          </cell>
          <cell r="C1132" t="str">
            <v>UN</v>
          </cell>
          <cell r="D1132">
            <v>2.2805</v>
          </cell>
        </row>
        <row r="1133">
          <cell r="A1133" t="str">
            <v>001.23.04200</v>
          </cell>
          <cell r="B1133" t="str">
            <v>Fornecimento e Instalação de Tampa de Alumínio 1"""""""""""""""" 1 P RJ 45</v>
          </cell>
          <cell r="C1133" t="str">
            <v>UN</v>
          </cell>
          <cell r="D1133">
            <v>2.2805</v>
          </cell>
        </row>
        <row r="1134">
          <cell r="A1134" t="str">
            <v>001.23.04220</v>
          </cell>
          <cell r="B1134" t="str">
            <v>Fornecimento e Instalação de Tampa de Alumínio 1"""""""""""""""" 2 P</v>
          </cell>
          <cell r="C1134" t="str">
            <v>UN</v>
          </cell>
          <cell r="D1134">
            <v>2.2805</v>
          </cell>
        </row>
        <row r="1135">
          <cell r="A1135" t="str">
            <v>001.23.04240</v>
          </cell>
          <cell r="B1135" t="str">
            <v>Fornecimento e Instalação de Tampa de Alumínio 1"""""""""""""""" 2 P Sep.</v>
          </cell>
          <cell r="C1135" t="str">
            <v>UN</v>
          </cell>
          <cell r="D1135">
            <v>2.2805</v>
          </cell>
        </row>
        <row r="1136">
          <cell r="A1136" t="str">
            <v>001.23.04260</v>
          </cell>
          <cell r="B1136" t="str">
            <v>Fornecimento e Instalação de Tampa de Alumínio 1"""""""""""""""" 2 P RJ 45</v>
          </cell>
          <cell r="C1136" t="str">
            <v>UN</v>
          </cell>
          <cell r="D1136">
            <v>2.2805</v>
          </cell>
        </row>
        <row r="1137">
          <cell r="A1137" t="str">
            <v>001.23.04280</v>
          </cell>
          <cell r="B1137" t="str">
            <v>Fornecimento e Instalação de Tampa de Alumínio 1"""""""""""""""" 3 P</v>
          </cell>
          <cell r="C1137" t="str">
            <v>UN</v>
          </cell>
          <cell r="D1137">
            <v>2.2805</v>
          </cell>
        </row>
        <row r="1138">
          <cell r="A1138" t="str">
            <v>001.23.04300</v>
          </cell>
          <cell r="B1138" t="str">
            <v>Fornecimento e Instalação de Tampa de Alumínio 1"""""""""""""""" Cega</v>
          </cell>
          <cell r="C1138" t="str">
            <v>UN</v>
          </cell>
          <cell r="D1138">
            <v>2.2805</v>
          </cell>
        </row>
        <row r="1139">
          <cell r="A1139" t="str">
            <v>001.23.04320</v>
          </cell>
          <cell r="B1139" t="str">
            <v>Fornecimento e instalação de caixa metálica com tampa parafusada de Embutir de 20.00x20.00x10.00 cm</v>
          </cell>
          <cell r="C1139" t="str">
            <v>UN</v>
          </cell>
          <cell r="D1139">
            <v>27.757999999999999</v>
          </cell>
        </row>
        <row r="1140">
          <cell r="A1140" t="str">
            <v>001.23.04340</v>
          </cell>
          <cell r="B1140" t="str">
            <v>Fornecimento e instalação de caixa metálica com tampa parafusada de Embutir de 25.00x25.00x12.00 cm</v>
          </cell>
          <cell r="C1140" t="str">
            <v>UN</v>
          </cell>
          <cell r="D1140">
            <v>34.179900000000004</v>
          </cell>
        </row>
        <row r="1141">
          <cell r="A1141" t="str">
            <v>001.23.04360</v>
          </cell>
          <cell r="B1141" t="str">
            <v>Fornecimento e instalação de caixa metálica com tampa parafusada de Embutir 30.00x30.00x15.00 cm</v>
          </cell>
          <cell r="C1141" t="str">
            <v>UN</v>
          </cell>
          <cell r="D1141">
            <v>47.747599999999998</v>
          </cell>
        </row>
        <row r="1142">
          <cell r="A1142" t="str">
            <v>001.23.04380</v>
          </cell>
          <cell r="B1142" t="str">
            <v>Fornecimento e instalação de caixa metálica com tampa parafusada de Embutir 40.00x40.00x15.00 cm</v>
          </cell>
          <cell r="C1142" t="str">
            <v>UN</v>
          </cell>
          <cell r="D1142">
            <v>71.476799999999997</v>
          </cell>
        </row>
        <row r="1143">
          <cell r="A1143" t="str">
            <v>001.23.04400</v>
          </cell>
          <cell r="B1143" t="str">
            <v>Fornecimento e instalação de caixa metálica com tampa parafusada de Embutir 50.00x50.00x15.00 cm</v>
          </cell>
          <cell r="C1143" t="str">
            <v>UN</v>
          </cell>
          <cell r="D1143">
            <v>91.566800000000001</v>
          </cell>
        </row>
        <row r="1144">
          <cell r="A1144" t="str">
            <v>001.23.04420</v>
          </cell>
          <cell r="B1144" t="str">
            <v>Fornecimento e instalação de Quadro Metálico De  80 x 60 x 25 cm C/Porta P/ Comando</v>
          </cell>
          <cell r="C1144" t="str">
            <v>UN</v>
          </cell>
          <cell r="D1144">
            <v>285.5136</v>
          </cell>
        </row>
        <row r="1145">
          <cell r="A1145" t="str">
            <v>001.23.04440</v>
          </cell>
          <cell r="B1145" t="str">
            <v>Fornecimento e instalação de Quadro Metálico De  60x 60x20 cm C/Porta P/ Comando</v>
          </cell>
          <cell r="C1145" t="str">
            <v>UN</v>
          </cell>
          <cell r="D1145">
            <v>290.34440000000001</v>
          </cell>
        </row>
        <row r="1146">
          <cell r="A1146" t="str">
            <v>001.23.04460</v>
          </cell>
          <cell r="B1146" t="str">
            <v>Fornecimento e instalação de Quadro De Distribuicao P/ 01- 03 Circuitos De Sobrepor, Pvc, Eletromar ou Mesmo Padrão</v>
          </cell>
          <cell r="C1146" t="str">
            <v>UN</v>
          </cell>
          <cell r="D1146">
            <v>33.256799999999998</v>
          </cell>
        </row>
        <row r="1147">
          <cell r="A1147" t="str">
            <v>001.23.04480</v>
          </cell>
          <cell r="B1147" t="str">
            <v>Fornecimento e instalação de Quadro De Distribuicao P/ 04 - 06 Circuitos De Sobrepor, Pvc, Eletromar ou Mesmo Padrão</v>
          </cell>
          <cell r="C1147" t="str">
            <v>UN</v>
          </cell>
          <cell r="D1147">
            <v>42.366799999999998</v>
          </cell>
        </row>
        <row r="1148">
          <cell r="A1148" t="str">
            <v>001.23.04500</v>
          </cell>
          <cell r="B1148" t="str">
            <v>Fornecimento e instalação de Quadro De Dist Embutir Metálico Com Porta P/ 06 Circuitos</v>
          </cell>
          <cell r="C1148" t="str">
            <v>UN</v>
          </cell>
          <cell r="D1148">
            <v>36.296799999999998</v>
          </cell>
        </row>
        <row r="1149">
          <cell r="A1149" t="str">
            <v>001.23.04520</v>
          </cell>
          <cell r="B1149" t="str">
            <v>Fornecimento e instalação de Quadro De Dist Embutir Metálico Com Porta P/ 12 Circuitos</v>
          </cell>
          <cell r="C1149" t="str">
            <v>UN</v>
          </cell>
          <cell r="D1149">
            <v>47.086799999999997</v>
          </cell>
        </row>
        <row r="1150">
          <cell r="A1150" t="str">
            <v>001.23.04540</v>
          </cell>
          <cell r="B1150" t="str">
            <v>Fornecimento e instalação de Quadro De Dist Embutir Metálico Com Porta P/ 18 Circuitos</v>
          </cell>
          <cell r="C1150" t="str">
            <v>UN</v>
          </cell>
          <cell r="D1150">
            <v>86.006</v>
          </cell>
        </row>
        <row r="1151">
          <cell r="A1151" t="str">
            <v>001.23.04560</v>
          </cell>
          <cell r="B1151" t="str">
            <v>Fornecimento e instalação de Quadro De Dist Tripolar Embutir C/ Barramento Com Porta 20 Circuitos 100 A</v>
          </cell>
          <cell r="C1151" t="str">
            <v>UN</v>
          </cell>
          <cell r="D1151">
            <v>134.286</v>
          </cell>
        </row>
        <row r="1152">
          <cell r="A1152" t="str">
            <v>001.23.04580</v>
          </cell>
          <cell r="B1152" t="str">
            <v>Fornecimento e instalação de Quadro De Dist Tripolar Embutir C/ Barramento Com Porta 24 Circuitos 100 A</v>
          </cell>
          <cell r="C1152" t="str">
            <v>UN</v>
          </cell>
          <cell r="D1152">
            <v>183.74520000000001</v>
          </cell>
        </row>
        <row r="1153">
          <cell r="A1153" t="str">
            <v>001.23.04600</v>
          </cell>
          <cell r="B1153" t="str">
            <v>Fornecimento e instalação de Quadro De Dist Tripolar Embutir C/ Barramento Com Porta 40 Circuitos 100 A</v>
          </cell>
          <cell r="C1153" t="str">
            <v>UN</v>
          </cell>
          <cell r="D1153">
            <v>418.4144</v>
          </cell>
        </row>
        <row r="1154">
          <cell r="A1154" t="str">
            <v>001.23.04620</v>
          </cell>
          <cell r="B1154" t="str">
            <v>Fornecimento e instalação de Quadro De Dist Tripolar Embutir C/ Barramento Com Porta 50 Circuitos 100 A</v>
          </cell>
          <cell r="C1154" t="str">
            <v>UN</v>
          </cell>
          <cell r="D1154">
            <v>570.95360000000005</v>
          </cell>
        </row>
        <row r="1155">
          <cell r="A1155" t="str">
            <v>001.23.04640</v>
          </cell>
          <cell r="B1155" t="str">
            <v>Fornecimento e instalação de Quadro De Dist Tripolar Embutir C/ Barramento Com Porta 32 Circuitos 100 A</v>
          </cell>
          <cell r="C1155" t="str">
            <v>UN</v>
          </cell>
          <cell r="D1155">
            <v>198.09520000000001</v>
          </cell>
        </row>
        <row r="1156">
          <cell r="A1156" t="str">
            <v>001.23.04660</v>
          </cell>
          <cell r="B1156" t="str">
            <v>Fornecimento e Instalação de Disjuntor monofásico EL 10A da marca Eletromar ou Mesmo Padrão (UL)</v>
          </cell>
          <cell r="C1156" t="str">
            <v>UN</v>
          </cell>
          <cell r="D1156">
            <v>6.3926999999999996</v>
          </cell>
        </row>
        <row r="1157">
          <cell r="A1157" t="str">
            <v>001.23.04680</v>
          </cell>
          <cell r="B1157" t="str">
            <v>Fornecimento e Instalação de Disjuntor monofásico EL 15A da marca Eletromar ou Mesmo Padrão (UL)</v>
          </cell>
          <cell r="C1157" t="str">
            <v>UN</v>
          </cell>
          <cell r="D1157">
            <v>6.5126999999999997</v>
          </cell>
        </row>
        <row r="1158">
          <cell r="A1158" t="str">
            <v>001.23.04700</v>
          </cell>
          <cell r="B1158" t="str">
            <v>Fornecimento e Instalação de Disjuntor monofásico EL 20A da marca Eletromar ou Mesmo Padrão (UL)</v>
          </cell>
          <cell r="C1158" t="str">
            <v>UN</v>
          </cell>
          <cell r="D1158">
            <v>6.4617000000000004</v>
          </cell>
        </row>
        <row r="1159">
          <cell r="A1159" t="str">
            <v>001.23.04720</v>
          </cell>
          <cell r="B1159" t="str">
            <v>Fornecimento e Instalação de Disjuntor monofásico EL 25A da marca Eletromar ou Mesmo Padrão (UL)</v>
          </cell>
          <cell r="C1159" t="str">
            <v>UN</v>
          </cell>
          <cell r="D1159">
            <v>6.4617000000000004</v>
          </cell>
        </row>
        <row r="1160">
          <cell r="A1160" t="str">
            <v>001.23.04740</v>
          </cell>
          <cell r="B1160" t="str">
            <v>Fornecimento e Instalação de Disjuntor monofásico EL 30A da marca Eletromar ou Mesmo Padrão (UL)</v>
          </cell>
          <cell r="C1160" t="str">
            <v>UN</v>
          </cell>
          <cell r="D1160">
            <v>6.4527000000000001</v>
          </cell>
        </row>
        <row r="1161">
          <cell r="A1161" t="str">
            <v>001.23.04760</v>
          </cell>
          <cell r="B1161" t="str">
            <v>Fornecimento e Instalação de Disjuntor monofásico EL 35A da marca Eletromar ou Mesmo Padrão (UL)</v>
          </cell>
          <cell r="C1161" t="str">
            <v>UN</v>
          </cell>
          <cell r="D1161">
            <v>9.8386999999999993</v>
          </cell>
        </row>
        <row r="1162">
          <cell r="A1162" t="str">
            <v>001.23.04780</v>
          </cell>
          <cell r="B1162" t="str">
            <v>Fornecimento e Instalação de Disjuntor monofásico EL 40A da marca Eletromar ou Mesmo Padrão (UL)</v>
          </cell>
          <cell r="C1162" t="str">
            <v>UN</v>
          </cell>
          <cell r="D1162">
            <v>9.7437000000000005</v>
          </cell>
        </row>
        <row r="1163">
          <cell r="A1163" t="str">
            <v>001.23.04800</v>
          </cell>
          <cell r="B1163" t="str">
            <v>Fornecimento e Instalação de Disjuntor monofásico EL 50A da marca Eletromar ou Mesmo Padrão (UL)</v>
          </cell>
          <cell r="C1163" t="str">
            <v>UN</v>
          </cell>
          <cell r="D1163">
            <v>9.0626999999999995</v>
          </cell>
        </row>
        <row r="1164">
          <cell r="A1164" t="str">
            <v>001.23.04820</v>
          </cell>
          <cell r="B1164" t="str">
            <v>Fornecimento e Instalação de Disjuntor monofásico EL 60A da marca Eletromar ou Mesmo Padrão (UL)</v>
          </cell>
          <cell r="C1164" t="str">
            <v>UN</v>
          </cell>
          <cell r="D1164">
            <v>14.162699999999999</v>
          </cell>
        </row>
        <row r="1165">
          <cell r="A1165" t="str">
            <v>001.23.04840</v>
          </cell>
          <cell r="B1165" t="str">
            <v>Fornecimento e Instalação de Disjuntor monofásico EL 70A da marca Eletromar ou Mesmo Padrão (UL)</v>
          </cell>
          <cell r="C1165" t="str">
            <v>UN</v>
          </cell>
          <cell r="D1165">
            <v>14.162699999999999</v>
          </cell>
        </row>
        <row r="1166">
          <cell r="A1166" t="str">
            <v>001.23.04860</v>
          </cell>
          <cell r="B1166" t="str">
            <v>Fornecimento e Instalação de Disjuntor bifásico EL 10A da marca Eletromar ou Mesmo Padrão (UL)</v>
          </cell>
          <cell r="C1166" t="str">
            <v>UN</v>
          </cell>
          <cell r="D1166">
            <v>32.3645</v>
          </cell>
        </row>
        <row r="1167">
          <cell r="A1167" t="str">
            <v>001.23.04880</v>
          </cell>
          <cell r="B1167" t="str">
            <v>Fornecimento e Instalação de Disjuntor bifásico EL 15A da marca Eletromar ou Mesmo Padrão (UL)</v>
          </cell>
          <cell r="C1167" t="str">
            <v>UN</v>
          </cell>
          <cell r="D1167">
            <v>30.965499999999999</v>
          </cell>
        </row>
        <row r="1168">
          <cell r="A1168" t="str">
            <v>001.23.04900</v>
          </cell>
          <cell r="B1168" t="str">
            <v>Fornecimento e Instalação de Disjuntor bifásico EL 20A da marca Eletromar ou Mesmo Padrão (UL)</v>
          </cell>
          <cell r="C1168" t="str">
            <v>UN</v>
          </cell>
          <cell r="D1168">
            <v>30.965499999999999</v>
          </cell>
        </row>
        <row r="1169">
          <cell r="A1169" t="str">
            <v>001.23.04920</v>
          </cell>
          <cell r="B1169" t="str">
            <v>Fornecimento e Instalação de Disjuntor bifásico EL 25A da marca Eletromar ou Mesmo Padrão (UL)</v>
          </cell>
          <cell r="C1169" t="str">
            <v>UN</v>
          </cell>
          <cell r="D1169">
            <v>30.965499999999999</v>
          </cell>
        </row>
        <row r="1170">
          <cell r="A1170" t="str">
            <v>001.23.04940</v>
          </cell>
          <cell r="B1170" t="str">
            <v>Fornecimento e Instalação de Disjuntor bifásico EL 30A da marca Eletromar ou Mesmo Padrão (UL)</v>
          </cell>
          <cell r="C1170" t="str">
            <v>UN</v>
          </cell>
          <cell r="D1170">
            <v>30.965499999999999</v>
          </cell>
        </row>
        <row r="1171">
          <cell r="A1171" t="str">
            <v>001.23.04960</v>
          </cell>
          <cell r="B1171" t="str">
            <v>Fornecimento e Instalação de Disjuntor bifásico EL 35A da marca Eletromar ou Mesmo Padrão (UL)</v>
          </cell>
          <cell r="C1171" t="str">
            <v>UN</v>
          </cell>
          <cell r="D1171">
            <v>32.3645</v>
          </cell>
        </row>
        <row r="1172">
          <cell r="A1172" t="str">
            <v>001.23.04980</v>
          </cell>
          <cell r="B1172" t="str">
            <v>Fornecimento e Instalação de Disjuntor bifásico EL 40A da marca Eletromar ou Mesmo Padrão (UL)</v>
          </cell>
          <cell r="C1172" t="str">
            <v>UN</v>
          </cell>
          <cell r="D1172">
            <v>32.3645</v>
          </cell>
        </row>
        <row r="1173">
          <cell r="A1173" t="str">
            <v>001.23.05000</v>
          </cell>
          <cell r="B1173" t="str">
            <v>Fornecimento e Instalação de Disjuntor bifásico EL 50A da marca Eletromar ou Mesmo Padrão (UL))</v>
          </cell>
          <cell r="C1173" t="str">
            <v>UN</v>
          </cell>
          <cell r="D1173">
            <v>32.3645</v>
          </cell>
        </row>
        <row r="1174">
          <cell r="A1174" t="str">
            <v>001.23.05020</v>
          </cell>
          <cell r="B1174" t="str">
            <v>Fornecimento e Instalação de Disjuntor bifásico EL 60A da marca Eletromar ou Mesmo Padrão (UL)</v>
          </cell>
          <cell r="C1174" t="str">
            <v>UN</v>
          </cell>
          <cell r="D1174">
            <v>46.3825</v>
          </cell>
        </row>
        <row r="1175">
          <cell r="A1175" t="str">
            <v>001.23.05040</v>
          </cell>
          <cell r="B1175" t="str">
            <v>Fornecimento e Instalação de Disjuntor bifásico EL 70A da marca Eletromar ou Mesmo Padrão (UL)</v>
          </cell>
          <cell r="C1175" t="str">
            <v>UN</v>
          </cell>
          <cell r="D1175">
            <v>47.080500000000001</v>
          </cell>
        </row>
        <row r="1176">
          <cell r="A1176" t="str">
            <v>001.23.05060</v>
          </cell>
          <cell r="B1176" t="str">
            <v>Fornecimento e Instalação de Disjuntor bifásico EL 90A da marca Eletromar ou Mesmo Padrão (UL)</v>
          </cell>
          <cell r="C1176" t="str">
            <v>UN</v>
          </cell>
          <cell r="D1176">
            <v>47.080500000000001</v>
          </cell>
        </row>
        <row r="1177">
          <cell r="A1177" t="str">
            <v>001.23.05080</v>
          </cell>
          <cell r="B1177" t="str">
            <v>Fornecimento e Instalação de Disjuntor bifásico EL 100A da marca Eletromar ou Mesmo Padrão (UL)</v>
          </cell>
          <cell r="C1177" t="str">
            <v>UN</v>
          </cell>
          <cell r="D1177">
            <v>46.3825</v>
          </cell>
        </row>
        <row r="1178">
          <cell r="A1178" t="str">
            <v>001.23.05100</v>
          </cell>
          <cell r="B1178" t="str">
            <v>Fornecimento e Instalação de Disjuntor trifásico EL 10A  C da marca Eletromar ou Mesmo Padrão (UL)</v>
          </cell>
          <cell r="C1178" t="str">
            <v>UN</v>
          </cell>
          <cell r="D1178">
            <v>37.618299999999998</v>
          </cell>
        </row>
        <row r="1179">
          <cell r="A1179" t="str">
            <v>001.23.05120</v>
          </cell>
          <cell r="B1179" t="str">
            <v>Fornecimento e Instalação de Disjuntor trifásico EL 15A  C da marca Eletromar ou Mesmo Padrão (UL)</v>
          </cell>
          <cell r="C1179" t="str">
            <v>UN</v>
          </cell>
          <cell r="D1179">
            <v>38.186300000000003</v>
          </cell>
        </row>
        <row r="1180">
          <cell r="A1180" t="str">
            <v>001.23.05140</v>
          </cell>
          <cell r="B1180" t="str">
            <v>Fornecimento e Instalação de Disjuntor trifásico EL 20A  C da marca Eletromar ou Mesmo Padrão (UL)</v>
          </cell>
          <cell r="C1180" t="str">
            <v>UN</v>
          </cell>
          <cell r="D1180">
            <v>36.932299999999998</v>
          </cell>
        </row>
        <row r="1181">
          <cell r="A1181" t="str">
            <v>001.23.05160</v>
          </cell>
          <cell r="B1181" t="str">
            <v>Fornecimento e Instalação de Disjuntor trifásico EL 25A  C da marca Eletromar ou Mesmo Padrão (UL)</v>
          </cell>
          <cell r="C1181" t="str">
            <v>UN</v>
          </cell>
          <cell r="D1181">
            <v>37.069299999999998</v>
          </cell>
        </row>
        <row r="1182">
          <cell r="A1182" t="str">
            <v>001.23.05180</v>
          </cell>
          <cell r="B1182" t="str">
            <v>Fornecimento e Instalação de Disjuntor trifásico EL 30A  C da marca Eletromar ou Mesmo Padrão (UL)</v>
          </cell>
          <cell r="C1182" t="str">
            <v>UN</v>
          </cell>
          <cell r="D1182">
            <v>37.4893</v>
          </cell>
        </row>
        <row r="1183">
          <cell r="A1183" t="str">
            <v>001.23.05200</v>
          </cell>
          <cell r="B1183" t="str">
            <v>Fornecimento e Instalação de Disjuntor trifásico EL 35A  C da marca Eletromar ou Mesmo Padrão (UL)</v>
          </cell>
          <cell r="C1183" t="str">
            <v>UN</v>
          </cell>
          <cell r="D1183">
            <v>36.932299999999998</v>
          </cell>
        </row>
        <row r="1184">
          <cell r="A1184" t="str">
            <v>001.23.05220</v>
          </cell>
          <cell r="B1184" t="str">
            <v>Fornecimento e Instalação de Disjuntor trifásico EL 40A  C da marca Eletromar ou Mesmo Padrão (UL)</v>
          </cell>
          <cell r="C1184" t="str">
            <v>UN</v>
          </cell>
          <cell r="D1184">
            <v>38.128300000000003</v>
          </cell>
        </row>
        <row r="1185">
          <cell r="A1185" t="str">
            <v>001.23.05240</v>
          </cell>
          <cell r="B1185" t="str">
            <v>Fornecimento e Instalação de Disjuntor trifásico EL 50A  C da marca Eletromar ou Mesmo Padrão (UL)</v>
          </cell>
          <cell r="C1185" t="str">
            <v>UN</v>
          </cell>
          <cell r="D1185">
            <v>38.848300000000002</v>
          </cell>
        </row>
        <row r="1186">
          <cell r="A1186" t="str">
            <v>001.23.05260</v>
          </cell>
          <cell r="B1186" t="str">
            <v>Fornecimento e Instalação de Disjuntor trifásico EL 60A  C da marca Eletromar ou Mesmo Padrão (UL)</v>
          </cell>
          <cell r="C1186" t="str">
            <v>UN</v>
          </cell>
          <cell r="D1186">
            <v>56.271299999999997</v>
          </cell>
        </row>
        <row r="1187">
          <cell r="A1187" t="str">
            <v>001.23.05280</v>
          </cell>
          <cell r="B1187" t="str">
            <v>Fornecimento e Instalação de Disjuntor trifásico EL 70A  C da marca Eletromar ou Mesmo Padrão (UL)</v>
          </cell>
          <cell r="C1187" t="str">
            <v>UN</v>
          </cell>
          <cell r="D1187">
            <v>56.271299999999997</v>
          </cell>
        </row>
        <row r="1188">
          <cell r="A1188" t="str">
            <v>001.23.05300</v>
          </cell>
          <cell r="B1188" t="str">
            <v>Fornecimento e Instalação de Disjuntor trifásico EL 90A  C da marca Eletromar ou Mesmo Padrão (UL)</v>
          </cell>
          <cell r="C1188" t="str">
            <v>UN</v>
          </cell>
          <cell r="D1188">
            <v>56.271299999999997</v>
          </cell>
        </row>
        <row r="1189">
          <cell r="A1189" t="str">
            <v>001.23.05320</v>
          </cell>
          <cell r="B1189" t="str">
            <v>Fornecimento e Instalação de Disjuntor trifásico EL 100A  C da marca Eletromar ou Mesmo Padrão (UL)</v>
          </cell>
          <cell r="C1189" t="str">
            <v>UN</v>
          </cell>
          <cell r="D1189">
            <v>56.271299999999997</v>
          </cell>
        </row>
        <row r="1190">
          <cell r="A1190" t="str">
            <v>001.23.05340</v>
          </cell>
          <cell r="B1190" t="str">
            <v>Fornecimento e Instalação de Disjuntor trifásico EL 120A  CA da marca Eletromar ou Mesmo Padrão (UL)</v>
          </cell>
          <cell r="C1190" t="str">
            <v>UN</v>
          </cell>
          <cell r="D1190">
            <v>168.37129999999999</v>
          </cell>
        </row>
        <row r="1191">
          <cell r="A1191" t="str">
            <v>001.23.05360</v>
          </cell>
          <cell r="B1191" t="str">
            <v>Fornecimento e Instalação de Disjuntor trifásico EL 125A  CA da marca Eletromar ou Mesmo Padrão (UL)</v>
          </cell>
          <cell r="C1191" t="str">
            <v>UN</v>
          </cell>
          <cell r="D1191">
            <v>166.69130000000001</v>
          </cell>
        </row>
        <row r="1192">
          <cell r="A1192" t="str">
            <v>001.23.05380</v>
          </cell>
          <cell r="B1192" t="str">
            <v>Fornecimento e Instalação de Disjuntor trifásico EL 150A  CA da marca Eletromar ou Mesmo Padrão (UL)</v>
          </cell>
          <cell r="C1192" t="str">
            <v>UN</v>
          </cell>
          <cell r="D1192">
            <v>157.0813</v>
          </cell>
        </row>
        <row r="1193">
          <cell r="A1193" t="str">
            <v>001.23.05400</v>
          </cell>
          <cell r="B1193" t="str">
            <v>Fornecimento e Instalação de Disjuntor trifásico EL 175A  CA da marca Eletromar ou Mesmo Padrão (UL)</v>
          </cell>
          <cell r="C1193" t="str">
            <v>UN</v>
          </cell>
          <cell r="D1193">
            <v>157.0813</v>
          </cell>
        </row>
        <row r="1194">
          <cell r="A1194" t="str">
            <v>001.23.05420</v>
          </cell>
          <cell r="B1194" t="str">
            <v>Fornecimento e Instalação de Disjuntor trifásico EL 200A  CA da marca Eletromar ou Mesmo Padrão (UL)</v>
          </cell>
          <cell r="C1194" t="str">
            <v>UN</v>
          </cell>
          <cell r="D1194">
            <v>157.0813</v>
          </cell>
        </row>
        <row r="1195">
          <cell r="A1195" t="str">
            <v>001.23.05440</v>
          </cell>
          <cell r="B1195" t="str">
            <v>Fornecimento e Instalação de Disjuntor trifásico EL 225A  CA da marca Eletromar ou Mesmo Padrão (UL)</v>
          </cell>
          <cell r="C1195" t="str">
            <v>UN</v>
          </cell>
          <cell r="D1195">
            <v>166.69130000000001</v>
          </cell>
        </row>
        <row r="1196">
          <cell r="A1196" t="str">
            <v>001.23.05460</v>
          </cell>
          <cell r="B1196" t="str">
            <v>Fornecimento e Instalação de Disjuntor trifásico EL 250A  CA da marca Eletromar ou Mesmo Padrão (UL)</v>
          </cell>
          <cell r="C1196" t="str">
            <v>UN</v>
          </cell>
          <cell r="D1196">
            <v>435.93729999999999</v>
          </cell>
        </row>
        <row r="1197">
          <cell r="A1197" t="str">
            <v>001.23.05480</v>
          </cell>
          <cell r="B1197" t="str">
            <v>Fornecimento e Instalação de Disjuntor trifásico EL 300A  KI da marca Eletromar ou Mesmo Padrão (UL)</v>
          </cell>
          <cell r="C1197" t="str">
            <v>UN</v>
          </cell>
          <cell r="D1197">
            <v>1739.0983000000001</v>
          </cell>
        </row>
        <row r="1198">
          <cell r="A1198" t="str">
            <v>001.23.05500</v>
          </cell>
          <cell r="B1198" t="str">
            <v>Fornecimento e Instalação de Disjuntor trifásico EL 350A  KI da marca Eletromar ou Mesmo Padrão (UL)</v>
          </cell>
          <cell r="C1198" t="str">
            <v>UN</v>
          </cell>
          <cell r="D1198">
            <v>1739.0983000000001</v>
          </cell>
        </row>
        <row r="1199">
          <cell r="A1199" t="str">
            <v>001.23.05520</v>
          </cell>
          <cell r="B1199" t="str">
            <v>Fornecimento e Instalação de Disjuntor trifásico EL 400A  KI da marca Eletromar ou Mesmo Padrão (UL)</v>
          </cell>
          <cell r="C1199" t="str">
            <v>UN</v>
          </cell>
          <cell r="D1199">
            <v>1657.2083</v>
          </cell>
        </row>
        <row r="1200">
          <cell r="A1200" t="str">
            <v>001.23.05540</v>
          </cell>
          <cell r="B1200" t="str">
            <v>Fornecimento e Instalação de Disjuntor trifásico EL 500A  LI da marca Eletromar ou Mesmo Padrão (UL)</v>
          </cell>
          <cell r="C1200" t="str">
            <v>UN</v>
          </cell>
          <cell r="D1200">
            <v>2994.7653</v>
          </cell>
        </row>
        <row r="1201">
          <cell r="A1201" t="str">
            <v>001.23.05560</v>
          </cell>
          <cell r="B1201" t="str">
            <v>Fornecimento e Instalação de Disjuntor trifásico EL 600A  LI da marca Eletromar ou Mesmo Padrão (UL)</v>
          </cell>
          <cell r="C1201" t="str">
            <v>UN</v>
          </cell>
          <cell r="D1201">
            <v>2994.7653</v>
          </cell>
        </row>
        <row r="1202">
          <cell r="A1202" t="str">
            <v>001.23.05580</v>
          </cell>
          <cell r="B1202" t="str">
            <v>Fornecimento e Instalação de Disjuntor trifásico EL 630A  LI da marca Eletromar ou Mesmo Padrão (UL)</v>
          </cell>
          <cell r="C1202" t="str">
            <v>UN</v>
          </cell>
          <cell r="D1202">
            <v>2994.7653</v>
          </cell>
        </row>
        <row r="1203">
          <cell r="A1203" t="str">
            <v>001.23.05600</v>
          </cell>
          <cell r="B1203" t="str">
            <v>Fornecimento e Instalação de Disjuntor trifásico EL 700A  LI da marca Eletromar ou Mesmo Padrão (UL)</v>
          </cell>
          <cell r="C1203" t="str">
            <v>UN</v>
          </cell>
          <cell r="D1203">
            <v>5358.4813000000004</v>
          </cell>
        </row>
        <row r="1204">
          <cell r="A1204" t="str">
            <v>001.23.05620</v>
          </cell>
          <cell r="B1204" t="str">
            <v>Fornecimento e Instalação de Disjuntor trifásico EL 800A  LI da marca Eletromar ou Mesmo Padrão (UL)</v>
          </cell>
          <cell r="C1204" t="str">
            <v>UN</v>
          </cell>
          <cell r="D1204">
            <v>5358.4813000000004</v>
          </cell>
        </row>
        <row r="1205">
          <cell r="A1205" t="str">
            <v>001.23.05640</v>
          </cell>
          <cell r="B1205" t="str">
            <v>Fornecimento e Instalação de Disjuntor mini monopolar 6A B da marca Siemens ou Mesmo Padrão (DIN)</v>
          </cell>
          <cell r="C1205" t="str">
            <v>UN</v>
          </cell>
          <cell r="D1205">
            <v>24.965699999999998</v>
          </cell>
        </row>
        <row r="1206">
          <cell r="A1206" t="str">
            <v>001.23.05660</v>
          </cell>
          <cell r="B1206" t="str">
            <v>Fornecimento e Instalação de Disjuntor mini monopolar 25A B da marca Siemens ou Mesmo Padrão (DIN)</v>
          </cell>
          <cell r="C1206" t="str">
            <v>UN</v>
          </cell>
          <cell r="D1206">
            <v>8.4527000000000001</v>
          </cell>
        </row>
        <row r="1207">
          <cell r="A1207" t="str">
            <v>001.23.05680</v>
          </cell>
          <cell r="B1207" t="str">
            <v>Fornecimento e Instalação de Disjuntor mini monopolar 32A B da marca Siemens ou Mesmo Padrão (DIN)</v>
          </cell>
          <cell r="C1207" t="str">
            <v>UN</v>
          </cell>
          <cell r="D1207">
            <v>8.5677000000000003</v>
          </cell>
        </row>
        <row r="1208">
          <cell r="A1208" t="str">
            <v>001.23.05700</v>
          </cell>
          <cell r="B1208" t="str">
            <v>Fornecimento e Instalação de Disjuntor mini bipolar 6A C da marca Siemens ou Mesmo Padrão (DIN)</v>
          </cell>
          <cell r="C1208" t="str">
            <v>UN</v>
          </cell>
          <cell r="D1208">
            <v>97.176500000000004</v>
          </cell>
        </row>
        <row r="1209">
          <cell r="A1209" t="str">
            <v>001.23.05720</v>
          </cell>
          <cell r="B1209" t="str">
            <v>Fornecimento e Instalação de Disjuntor mini bipolar 10A C da marca Siemens ou Mesmo Padrão (DIN)</v>
          </cell>
          <cell r="C1209" t="str">
            <v>UN</v>
          </cell>
          <cell r="D1209">
            <v>54.040500000000002</v>
          </cell>
        </row>
        <row r="1210">
          <cell r="A1210" t="str">
            <v>001.23.05740</v>
          </cell>
          <cell r="B1210" t="str">
            <v>Fornecimento e Instalação de Disjuntor mini bipolar 16A C da marca Siemens ou Mesmo Padrão (DIN)</v>
          </cell>
          <cell r="C1210" t="str">
            <v>UN</v>
          </cell>
          <cell r="D1210">
            <v>53.897500000000001</v>
          </cell>
        </row>
        <row r="1211">
          <cell r="A1211" t="str">
            <v>001.23.05760</v>
          </cell>
          <cell r="B1211" t="str">
            <v>Fornecimento e Instalação de Disjuntor mini bipolar 20A C da marca Siemens ou Mesmo Padrão (DIN)</v>
          </cell>
          <cell r="C1211" t="str">
            <v>UN</v>
          </cell>
          <cell r="D1211">
            <v>54.040500000000002</v>
          </cell>
        </row>
        <row r="1212">
          <cell r="A1212" t="str">
            <v>001.23.05780</v>
          </cell>
          <cell r="B1212" t="str">
            <v>Fornecimento e Instalação de Disjuntor mini bipolar 32A C da marca Siemens ou Mesmo Padrão (DIN)</v>
          </cell>
          <cell r="C1212" t="str">
            <v>UN</v>
          </cell>
          <cell r="D1212">
            <v>54.040500000000002</v>
          </cell>
        </row>
        <row r="1213">
          <cell r="A1213" t="str">
            <v>001.23.05800</v>
          </cell>
          <cell r="B1213" t="str">
            <v>Fornecimento e Instalação de Disjuntor mini bipolar 63A C da marca Siemens ou Mesmo Padrão (DIN)</v>
          </cell>
          <cell r="C1213" t="str">
            <v>UN</v>
          </cell>
          <cell r="D1213">
            <v>75.770499999999998</v>
          </cell>
        </row>
        <row r="1214">
          <cell r="A1214" t="str">
            <v>001.23.05820</v>
          </cell>
          <cell r="B1214" t="str">
            <v>Fornecimento e Instalação de Disjuntor mini bipolar 80A C da marca Siemens ou Mesmo Padrão (DIN)</v>
          </cell>
          <cell r="C1214" t="str">
            <v>UN</v>
          </cell>
          <cell r="D1214">
            <v>75.770499999999998</v>
          </cell>
        </row>
        <row r="1215">
          <cell r="A1215" t="str">
            <v>001.23.05840</v>
          </cell>
          <cell r="B1215" t="str">
            <v>Fornecimento e Instalação de Disjuntor mini bipolar 2A C da marca Siemens ou Mesmo Padrão (DIN)</v>
          </cell>
          <cell r="C1215" t="str">
            <v>UN</v>
          </cell>
          <cell r="D1215">
            <v>97.176500000000004</v>
          </cell>
        </row>
        <row r="1216">
          <cell r="A1216" t="str">
            <v>001.23.05860</v>
          </cell>
          <cell r="B1216" t="str">
            <v>Fornecimento e Instalação de Disjuntor mini tripolar G 13A C da marca Siemens ou Mesmo Padrão (DIN)</v>
          </cell>
          <cell r="C1216" t="str">
            <v>UN</v>
          </cell>
          <cell r="D1216">
            <v>60.410299999999999</v>
          </cell>
        </row>
        <row r="1217">
          <cell r="A1217" t="str">
            <v>001.23.05880</v>
          </cell>
          <cell r="B1217" t="str">
            <v>Fornecimento e Instalação de Disjuntor mini tripolar G 25A C da marca Siemens ou Mesmo Padrão (DIN)</v>
          </cell>
          <cell r="C1217" t="str">
            <v>UN</v>
          </cell>
          <cell r="D1217">
            <v>60.410299999999999</v>
          </cell>
        </row>
        <row r="1218">
          <cell r="A1218" t="str">
            <v>001.23.05900</v>
          </cell>
          <cell r="B1218" t="str">
            <v>Fornecimento e Instalação de Disjuntor mini tripolar G 32A C da marca Siemens ou Mesmo Padrão (DIN)</v>
          </cell>
          <cell r="C1218" t="str">
            <v>UN</v>
          </cell>
          <cell r="D1218">
            <v>60.410299999999999</v>
          </cell>
        </row>
        <row r="1219">
          <cell r="A1219" t="str">
            <v>001.23.05920</v>
          </cell>
          <cell r="B1219" t="str">
            <v>Fornecimento e Instalação de Disjuntor mini tripolar G 40A C da marca Siemens ou Mesmo Padrão (DIN)</v>
          </cell>
          <cell r="C1219" t="str">
            <v>UN</v>
          </cell>
          <cell r="D1219">
            <v>60.410299999999999</v>
          </cell>
        </row>
        <row r="1220">
          <cell r="A1220" t="str">
            <v>001.23.05940</v>
          </cell>
          <cell r="B1220" t="str">
            <v>Fornecimento e Instalação de Disjuntor mini tripolar G 70A C da marca Siemens ou Mesmo Padrão (DIN)</v>
          </cell>
          <cell r="C1220" t="str">
            <v>UN</v>
          </cell>
          <cell r="D1220">
            <v>86.269300000000001</v>
          </cell>
        </row>
        <row r="1221">
          <cell r="A1221" t="str">
            <v>001.23.05960</v>
          </cell>
          <cell r="B1221" t="str">
            <v>Fornecimento e Instalação de Disjuntor mini tripolar G 80A C da marca Siemens ou Mesmo Padrão (DIN)</v>
          </cell>
          <cell r="C1221" t="str">
            <v>UN</v>
          </cell>
          <cell r="D1221">
            <v>86.269300000000001</v>
          </cell>
        </row>
        <row r="1222">
          <cell r="A1222" t="str">
            <v>001.23.05980</v>
          </cell>
          <cell r="B1222" t="str">
            <v>Fornecimento e Instalação de Interruptor Simples de embutir 1 tecla 10 A - 250V com espelho para caixa 4x2"""""""""""""""""""""""""""""""", Linha Popular</v>
          </cell>
          <cell r="C1222" t="str">
            <v>CJ</v>
          </cell>
          <cell r="D1222">
            <v>4.8868999999999998</v>
          </cell>
        </row>
        <row r="1223">
          <cell r="A1223" t="str">
            <v>001.23.06000</v>
          </cell>
          <cell r="B1223" t="str">
            <v>Fornecimento e Instalação de Interruptor Simples de Embutir 2 teclas 10 A - 250V com espelho para caixa 4x2"""""""""""""""""""""""""""""""", Linha Popular</v>
          </cell>
          <cell r="C1223" t="str">
            <v>CJ</v>
          </cell>
          <cell r="D1223">
            <v>7.0369000000000002</v>
          </cell>
        </row>
        <row r="1224">
          <cell r="A1224" t="str">
            <v>001.23.06020</v>
          </cell>
          <cell r="B1224" t="str">
            <v>Fornecimento e Instalação de Interruptor Simples de Embutir 3 teclas 10 A - 250V com espelho para caixa 4x2"""""""""""""""""""""""""""""""", Linha Popular</v>
          </cell>
          <cell r="C1224" t="str">
            <v>CJ</v>
          </cell>
          <cell r="D1224">
            <v>9.1768999999999998</v>
          </cell>
        </row>
        <row r="1225">
          <cell r="A1225" t="str">
            <v>001.23.06040</v>
          </cell>
          <cell r="B1225" t="str">
            <v>Fornecimento e Instalação de Interruptor Paralelo de Embutir 1 tecla 10 A - 250V com espelho para caixa 4x2"""""""""""""""""""""""""""""""", Linha Popular</v>
          </cell>
          <cell r="C1225" t="str">
            <v>CJ</v>
          </cell>
          <cell r="D1225">
            <v>5.6169000000000002</v>
          </cell>
        </row>
        <row r="1226">
          <cell r="A1226" t="str">
            <v>001.23.06060</v>
          </cell>
          <cell r="B1226" t="str">
            <v>Fornecimento e Instalação de Interruptor Paralelo de Embutir 2 teclas 10 A - 250V com espelho para caixa 4x2"""""""""""""""""""""""""""""""", Linha Popular</v>
          </cell>
          <cell r="C1226" t="str">
            <v>CJ</v>
          </cell>
          <cell r="D1226">
            <v>8.4869000000000003</v>
          </cell>
        </row>
        <row r="1227">
          <cell r="A1227" t="str">
            <v>001.23.06080</v>
          </cell>
          <cell r="B1227" t="str">
            <v>Fornecimento e Instalação de Interruptor Paralelo 3 teclas de Embutir 10 A - 250V com espelho para caixa 4x2"""""""""""""""""""""""""""""""", Linha Popular</v>
          </cell>
          <cell r="C1227" t="str">
            <v>CJ</v>
          </cell>
          <cell r="D1227">
            <v>11.8169</v>
          </cell>
        </row>
        <row r="1228">
          <cell r="A1228" t="str">
            <v>001.23.06100</v>
          </cell>
          <cell r="B1228" t="str">
            <v>Fornecimento e Instalação de Interruptor Simples e Tomada 2P universal de Embutir 10 A - 250V com espelho para caixa 4x2"""""""", Linha Popular</v>
          </cell>
          <cell r="C1228" t="str">
            <v>CJ</v>
          </cell>
          <cell r="D1228">
            <v>7.2769000000000004</v>
          </cell>
        </row>
        <row r="1229">
          <cell r="A1229" t="str">
            <v>001.23.06120</v>
          </cell>
          <cell r="B1229" t="str">
            <v>Fornecimento e Instalação de Interruptor Paralelo e Tomada 2P universal de Embutir 10 A - 250V com espelho para caixa 4x2"""""""", Linha Popular</v>
          </cell>
          <cell r="C1229" t="str">
            <v>CJ</v>
          </cell>
          <cell r="D1229">
            <v>8.0769000000000002</v>
          </cell>
        </row>
        <row r="1230">
          <cell r="A1230" t="str">
            <v>001.23.06140</v>
          </cell>
          <cell r="B1230" t="str">
            <v>Fornecimento e Instalação de Interruptor Simples 02 Teclas e Tomada 2P universal de Embutir 10 A - 250V com espelho para caixa 4x2"""""""", Linha Popular</v>
          </cell>
          <cell r="C1230" t="str">
            <v>UN</v>
          </cell>
          <cell r="D1230">
            <v>12.3969</v>
          </cell>
        </row>
        <row r="1231">
          <cell r="A1231" t="str">
            <v>001.23.06160</v>
          </cell>
          <cell r="B1231" t="str">
            <v>Fornecimento e Instalação de Interruptor Bipolar de Embutir 25 A - 250V com espelho para caixa 4x2"""""""""""""""""""""""""""""""", Linha Popular</v>
          </cell>
          <cell r="C1231" t="str">
            <v>CJ</v>
          </cell>
          <cell r="D1231">
            <v>35.796900000000001</v>
          </cell>
        </row>
        <row r="1232">
          <cell r="A1232" t="str">
            <v>001.23.06180</v>
          </cell>
          <cell r="B1232" t="str">
            <v>Fornecimento e Instalação de Tomada  2P universal de Embutir 10 A - 250V com espelho para caixa 4x2"""""""""""""""""""""""""""""""", Linha Popular</v>
          </cell>
          <cell r="C1232" t="str">
            <v>CJ</v>
          </cell>
          <cell r="D1232">
            <v>4.8868999999999998</v>
          </cell>
        </row>
        <row r="1233">
          <cell r="A1233" t="str">
            <v>001.23.06200</v>
          </cell>
          <cell r="B1233" t="str">
            <v>Fornecimento e Instalação de Tomada  2P+T universal de Embutir 10 A - 250V com espelho para caixa 4x2"""""""""""""""""""""""""""""""", Linha Popular</v>
          </cell>
          <cell r="C1233" t="str">
            <v>CJ</v>
          </cell>
          <cell r="D1233">
            <v>6.4368999999999996</v>
          </cell>
        </row>
        <row r="1234">
          <cell r="A1234" t="str">
            <v>001.23.06220</v>
          </cell>
          <cell r="B1234" t="str">
            <v>Fornecimento e Instalação de Tomada  2P+T universal de Embutir 15 A - 250V para informática com espelho para caixa 4x2"""""""""""""""""""""""""""""""", Linha Popular</v>
          </cell>
          <cell r="C1234" t="str">
            <v>CJ</v>
          </cell>
          <cell r="D1234">
            <v>6.4368999999999996</v>
          </cell>
        </row>
        <row r="1235">
          <cell r="A1235" t="str">
            <v>001.23.06240</v>
          </cell>
          <cell r="B1235" t="str">
            <v>Fornecimento e Instalação de Tomada 3P de Embutir 20 A - 250V para Ar Condicionado, Linha Popular</v>
          </cell>
          <cell r="C1235" t="str">
            <v>CJ</v>
          </cell>
          <cell r="D1235">
            <v>6.5168999999999997</v>
          </cell>
        </row>
        <row r="1236">
          <cell r="A1236" t="str">
            <v>001.23.06260</v>
          </cell>
          <cell r="B1236" t="str">
            <v>Fornecimento e Instalação de Tomada  2P+T universal 15 A - 250V para informática de Embutir no piso com espelho para latão em caixa 4x2"""""""""""""""""""""""""""""""", Linha Popular</v>
          </cell>
          <cell r="C1236" t="str">
            <v>CJ</v>
          </cell>
          <cell r="D1236">
            <v>17.286899999999999</v>
          </cell>
        </row>
        <row r="1237">
          <cell r="A1237" t="str">
            <v>001.23.06280</v>
          </cell>
          <cell r="B1237" t="str">
            <v>Interruptor Simples de embutir 1 tecla 10 A - 250V com espelho para caixa 4x2"""""""""""""""""""""""""""""""", Linha Pratis ou Mesmo Padrão</v>
          </cell>
          <cell r="C1237" t="str">
            <v>CJ</v>
          </cell>
          <cell r="D1237">
            <v>5.7069000000000001</v>
          </cell>
        </row>
        <row r="1238">
          <cell r="A1238" t="str">
            <v>001.23.06300</v>
          </cell>
          <cell r="B1238" t="str">
            <v>Fornecimento e instalação de conjunto arstrop com tomada bipolar mais polo terra e disjuntor termomagnético Bipolar de 30A/250v para embutir UL, em caixa metálica de 4"""""""""""""""" x 4"""""""""""""""" x 2""""""""""""""""</v>
          </cell>
          <cell r="C1238" t="str">
            <v>CJ</v>
          </cell>
          <cell r="D1238">
            <v>66.758799999999994</v>
          </cell>
        </row>
        <row r="1239">
          <cell r="A1239" t="str">
            <v>001.23.06320</v>
          </cell>
          <cell r="B1239" t="str">
            <v>Fornecimento e instalação de conjunto arstop para computador com disjuntor bipolar de 10A/250v e tomada 2P+T em caixa de 10 x 10 x 5 cm, cor marfim</v>
          </cell>
          <cell r="C1239" t="str">
            <v>CJ</v>
          </cell>
          <cell r="D1239">
            <v>36.138800000000003</v>
          </cell>
        </row>
        <row r="1240">
          <cell r="A1240" t="str">
            <v>001.23.06340</v>
          </cell>
          <cell r="B1240" t="str">
            <v>Fornecimento e instalação de campainha de timbre tipo residencial 50/60hz para embutir com caixa metálica 4""""""""""""""""""""""""""""""""x2""""""""""""""""""""""""""""""""</v>
          </cell>
          <cell r="C1240" t="str">
            <v>CJ</v>
          </cell>
          <cell r="D1240">
            <v>17.6859</v>
          </cell>
        </row>
        <row r="1241">
          <cell r="A1241" t="str">
            <v>001.23.06360</v>
          </cell>
          <cell r="B1241" t="str">
            <v>Fornecimento e instalação de campainha de timbre tipo residencial 50/60hz para embutir sem caixa metálica 4""""""""""""""""""""""""""""""""x2""""""""""""""""""""""""""""""""</v>
          </cell>
          <cell r="C1241" t="str">
            <v>UN</v>
          </cell>
          <cell r="D1241">
            <v>15.469099999999999</v>
          </cell>
        </row>
        <row r="1242">
          <cell r="A1242" t="str">
            <v>001.23.06380</v>
          </cell>
          <cell r="B1242" t="str">
            <v>Fornecimento e instalação de campainha de alta potência 50/60hz 110 v com timbre de diâm. 150.00mm 100db</v>
          </cell>
          <cell r="C1242" t="str">
            <v>UN</v>
          </cell>
          <cell r="D1242">
            <v>160.1431</v>
          </cell>
        </row>
        <row r="1243">
          <cell r="A1243" t="str">
            <v>001.23.06400</v>
          </cell>
          <cell r="B1243" t="str">
            <v>Fornecimento e instalação de campainha de alta potência 50/60hz 110 v com timbre de diâm. 250.00mm 104db</v>
          </cell>
          <cell r="C1243" t="str">
            <v>UN</v>
          </cell>
          <cell r="D1243">
            <v>217.1431</v>
          </cell>
        </row>
        <row r="1244">
          <cell r="A1244" t="str">
            <v>001.23.06420</v>
          </cell>
          <cell r="B1244" t="str">
            <v>Fornecimento e instalação de ventilador de teto c/rot em sentido dir/inverso c/4 pas de Madeira 60hz 110v c/ interuptor tipo reostado p/2 setores e com capacitor</v>
          </cell>
          <cell r="C1244" t="str">
            <v>CJ</v>
          </cell>
          <cell r="D1244">
            <v>136.596</v>
          </cell>
        </row>
        <row r="1245">
          <cell r="A1245" t="str">
            <v>001.23.06440</v>
          </cell>
          <cell r="B1245" t="str">
            <v>Fornecimento e instalação de luminária tipo calha industrial e comercial com lâmpada fluorescente 2 x 20w, reator alto fator de potência partida rápida e acessórios</v>
          </cell>
          <cell r="C1245" t="str">
            <v>CJ</v>
          </cell>
          <cell r="D1245">
            <v>49.682299999999998</v>
          </cell>
        </row>
        <row r="1246">
          <cell r="A1246" t="str">
            <v>001.23.06460</v>
          </cell>
          <cell r="B1246" t="str">
            <v>Fornecimento e instalação de luminária tipo calha industrial e comercial com lâmpada fluorescente 2 x 40w, reator alto fator de potência partida rápida e acessórios</v>
          </cell>
          <cell r="C1246" t="str">
            <v>CJ</v>
          </cell>
          <cell r="D1246">
            <v>54.082299999999996</v>
          </cell>
        </row>
        <row r="1247">
          <cell r="A1247" t="str">
            <v>001.23.06480</v>
          </cell>
          <cell r="B1247" t="str">
            <v>Fornecimento e instalação de luminária tipo arandela em ferro pintado para uso externo com lâmapada incandescente 1x60w/127v (Tipo Tartaruga)</v>
          </cell>
          <cell r="C1247" t="str">
            <v>CJ</v>
          </cell>
          <cell r="D1247">
            <v>18.7407</v>
          </cell>
        </row>
        <row r="1248">
          <cell r="A1248" t="str">
            <v>001.23.06500</v>
          </cell>
          <cell r="B1248" t="str">
            <v>Fornecimento e instalação de luminária tipo arandela em ferro pintado para uso externo com lâmapada incandescente 1x200w/127v (Tipo Tartaruga)</v>
          </cell>
          <cell r="C1248" t="str">
            <v>CJ</v>
          </cell>
          <cell r="D1248">
            <v>19.4678</v>
          </cell>
        </row>
        <row r="1249">
          <cell r="A1249" t="str">
            <v>001.23.06520</v>
          </cell>
          <cell r="B1249" t="str">
            <v>Fornecimento e instalação de luminária bloco autônomo de iluminação de emergência com 2 projetores</v>
          </cell>
          <cell r="C1249" t="str">
            <v>UN</v>
          </cell>
          <cell r="D1249">
            <v>153.61920000000001</v>
          </cell>
        </row>
        <row r="1250">
          <cell r="A1250" t="str">
            <v>001.23.06540</v>
          </cell>
          <cell r="B1250" t="str">
            <v>Fornecimento e instalação de chuveiro elétrico Maxi-Banho 2500w-110/220v</v>
          </cell>
          <cell r="C1250" t="str">
            <v>CJ</v>
          </cell>
          <cell r="D1250">
            <v>32.293999999999997</v>
          </cell>
        </row>
        <row r="1251">
          <cell r="A1251" t="str">
            <v>001.23.06560</v>
          </cell>
          <cell r="B1251" t="str">
            <v>Fornecimento e Instalação de Soquete Tipo Baquelite s/ Chave p/ Lâmpada Incandescente</v>
          </cell>
          <cell r="C1251" t="str">
            <v>UN</v>
          </cell>
          <cell r="D1251">
            <v>1.9935</v>
          </cell>
        </row>
        <row r="1252">
          <cell r="A1252" t="str">
            <v>001.23.06580</v>
          </cell>
          <cell r="B1252" t="str">
            <v>Fornecimento e Instalação de Soquete Tipo Baquelite c/ Chave p/ Lâmpada Incandescente</v>
          </cell>
          <cell r="C1252" t="str">
            <v>UN</v>
          </cell>
          <cell r="D1252">
            <v>2.9434999999999998</v>
          </cell>
        </row>
        <row r="1253">
          <cell r="A1253" t="str">
            <v>001.23.06600</v>
          </cell>
          <cell r="B1253" t="str">
            <v>Fornecimento e Instalação de Soquete p/ Lâmpada Fluorescente</v>
          </cell>
          <cell r="C1253" t="str">
            <v>UN</v>
          </cell>
          <cell r="D1253">
            <v>1.1348</v>
          </cell>
        </row>
        <row r="1254">
          <cell r="A1254" t="str">
            <v>001.23.06620</v>
          </cell>
          <cell r="B1254" t="str">
            <v>Fornecimento e instalação de Soquete De Porcelana P/ Lâmpada Comum  E 27</v>
          </cell>
          <cell r="C1254" t="str">
            <v>UN</v>
          </cell>
          <cell r="D1254">
            <v>3.3338999999999999</v>
          </cell>
        </row>
        <row r="1255">
          <cell r="A1255" t="str">
            <v>001.23.06640</v>
          </cell>
          <cell r="B1255" t="str">
            <v>Fornecimento e instalação de Soquete De Porcelana P/ Lâmpada Comum  E 40</v>
          </cell>
          <cell r="C1255" t="str">
            <v>UN</v>
          </cell>
          <cell r="D1255">
            <v>7.5351999999999997</v>
          </cell>
        </row>
        <row r="1256">
          <cell r="A1256" t="str">
            <v>001.23.06660</v>
          </cell>
          <cell r="B1256" t="str">
            <v>Fornecimento e instalação de lâmpada vapor de sódio 250w</v>
          </cell>
          <cell r="C1256" t="str">
            <v>UN</v>
          </cell>
          <cell r="D1256">
            <v>32.660499999999999</v>
          </cell>
        </row>
        <row r="1257">
          <cell r="A1257" t="str">
            <v>001.23.06680</v>
          </cell>
          <cell r="B1257" t="str">
            <v>Fornecimento e instalação de lâmpada fluorescente pl com reator - 25w/127v</v>
          </cell>
          <cell r="C1257" t="str">
            <v>UN</v>
          </cell>
          <cell r="D1257">
            <v>13.170500000000001</v>
          </cell>
        </row>
        <row r="1258">
          <cell r="A1258" t="str">
            <v>001.23.06700</v>
          </cell>
          <cell r="B1258" t="str">
            <v>Fornecimento e instalação de lâmpada mista 160w/220v</v>
          </cell>
          <cell r="C1258" t="str">
            <v>UN</v>
          </cell>
          <cell r="D1258">
            <v>9.1204999999999998</v>
          </cell>
        </row>
        <row r="1259">
          <cell r="A1259" t="str">
            <v>001.23.06720</v>
          </cell>
          <cell r="B1259" t="str">
            <v>Fornecimento e instalação de lâmpada mista 250w/220v</v>
          </cell>
          <cell r="C1259" t="str">
            <v>UN</v>
          </cell>
          <cell r="D1259">
            <v>12.660500000000001</v>
          </cell>
        </row>
        <row r="1260">
          <cell r="A1260" t="str">
            <v>001.23.06740</v>
          </cell>
          <cell r="B1260" t="str">
            <v>Fornecimento e instalação de lâmpada mista 500w/220v</v>
          </cell>
          <cell r="C1260" t="str">
            <v>UN</v>
          </cell>
          <cell r="D1260">
            <v>28.0105</v>
          </cell>
        </row>
        <row r="1261">
          <cell r="A1261" t="str">
            <v>001.23.06760</v>
          </cell>
          <cell r="B1261" t="str">
            <v>Fornecimento e instalação de lâmpada hospitalar p/ sala cirurgica """"""""""""""""""""""""""""""""seyalitica"""""""""""""""""""""""""""""""" 250w/220v</v>
          </cell>
          <cell r="C1261" t="str">
            <v>UN</v>
          </cell>
          <cell r="D1261">
            <v>83.670500000000004</v>
          </cell>
        </row>
        <row r="1262">
          <cell r="A1262" t="str">
            <v>001.23.06780</v>
          </cell>
          <cell r="B1262" t="str">
            <v>Fornecimento e instalação de lâmpada a vapor de mercúrio de alta pressão 400 w</v>
          </cell>
          <cell r="C1262" t="str">
            <v>UN</v>
          </cell>
          <cell r="D1262">
            <v>30.660499999999999</v>
          </cell>
        </row>
        <row r="1263">
          <cell r="A1263" t="str">
            <v>001.23.06800</v>
          </cell>
          <cell r="B1263" t="str">
            <v>Fornecimento e instalação de lâmpada incandescente 60 w</v>
          </cell>
          <cell r="C1263" t="str">
            <v>UN</v>
          </cell>
          <cell r="D1263">
            <v>1.5105</v>
          </cell>
        </row>
        <row r="1264">
          <cell r="A1264" t="str">
            <v>001.23.06820</v>
          </cell>
          <cell r="B1264" t="str">
            <v>Fornecimento e instalação de lâmpada incandescente 100 w</v>
          </cell>
          <cell r="C1264" t="str">
            <v>UN</v>
          </cell>
          <cell r="D1264">
            <v>1.8505</v>
          </cell>
        </row>
        <row r="1265">
          <cell r="A1265" t="str">
            <v>001.23.06840</v>
          </cell>
          <cell r="B1265" t="str">
            <v>Fornecimento e instalação de lâmpada incandescente 150 w</v>
          </cell>
          <cell r="C1265" t="str">
            <v>UN</v>
          </cell>
          <cell r="D1265">
            <v>2.4005000000000001</v>
          </cell>
        </row>
        <row r="1266">
          <cell r="A1266" t="str">
            <v>001.23.06860</v>
          </cell>
          <cell r="B1266" t="str">
            <v>Fornecimento e instalação de lâmpada incandescente 200 w</v>
          </cell>
          <cell r="C1266" t="str">
            <v>UN</v>
          </cell>
          <cell r="D1266">
            <v>2.8805000000000001</v>
          </cell>
        </row>
        <row r="1267">
          <cell r="A1267" t="str">
            <v>001.23.06880</v>
          </cell>
          <cell r="B1267" t="str">
            <v>Fornecimento e instalação de lâmpada incandescente 20 w</v>
          </cell>
          <cell r="C1267" t="str">
            <v>UN</v>
          </cell>
          <cell r="D1267">
            <v>3.6404999999999998</v>
          </cell>
        </row>
        <row r="1268">
          <cell r="A1268" t="str">
            <v>001.23.06900</v>
          </cell>
          <cell r="B1268" t="str">
            <v>Fornecimento e instalação de lâmpada incandescente 40 w</v>
          </cell>
          <cell r="C1268" t="str">
            <v>UN</v>
          </cell>
          <cell r="D1268">
            <v>3.6404999999999998</v>
          </cell>
        </row>
        <row r="1269">
          <cell r="A1269" t="str">
            <v>001.23.06920</v>
          </cell>
          <cell r="B1269" t="str">
            <v>Fornecimento e instalação de reator convencional 20w</v>
          </cell>
          <cell r="C1269" t="str">
            <v>UN</v>
          </cell>
          <cell r="D1269">
            <v>7.4151999999999996</v>
          </cell>
        </row>
        <row r="1270">
          <cell r="A1270" t="str">
            <v>001.23.06940</v>
          </cell>
          <cell r="B1270" t="str">
            <v>Fornecimento e instalação de reator convencional 40w</v>
          </cell>
          <cell r="C1270" t="str">
            <v>UN</v>
          </cell>
          <cell r="D1270">
            <v>13.5952</v>
          </cell>
        </row>
        <row r="1271">
          <cell r="A1271" t="str">
            <v>001.23.06960</v>
          </cell>
          <cell r="B1271" t="str">
            <v>Fornecimento e instalação de reator rvm para lampada vapor de mercurio 250 w</v>
          </cell>
          <cell r="C1271" t="str">
            <v>UN</v>
          </cell>
          <cell r="D1271">
            <v>45.305199999999999</v>
          </cell>
        </row>
        <row r="1272">
          <cell r="A1272" t="str">
            <v>001.23.06980</v>
          </cell>
          <cell r="B1272" t="str">
            <v>Fornecimento e instalação de reator rvm 400b26 da philips</v>
          </cell>
          <cell r="C1272" t="str">
            <v>UN</v>
          </cell>
          <cell r="D1272">
            <v>51.355200000000004</v>
          </cell>
        </row>
        <row r="1273">
          <cell r="A1273" t="str">
            <v>001.23.07000</v>
          </cell>
          <cell r="B1273" t="str">
            <v>Fornecimento e instalação de reator simples partida rápida 20w/110v</v>
          </cell>
          <cell r="C1273" t="str">
            <v>UN</v>
          </cell>
          <cell r="D1273">
            <v>17.695399999999999</v>
          </cell>
        </row>
        <row r="1274">
          <cell r="A1274" t="str">
            <v>001.23.07020</v>
          </cell>
          <cell r="B1274" t="str">
            <v>Fornecimento e instalação de reator simples partida rápida 40w/110v</v>
          </cell>
          <cell r="C1274" t="str">
            <v>UN</v>
          </cell>
          <cell r="D1274">
            <v>17.415199999999999</v>
          </cell>
        </row>
        <row r="1275">
          <cell r="A1275" t="str">
            <v>001.23.07040</v>
          </cell>
          <cell r="B1275" t="str">
            <v>Fornecimento e instalação de reator duplo partida rápida 20w/110v</v>
          </cell>
          <cell r="C1275" t="str">
            <v>UN</v>
          </cell>
          <cell r="D1275">
            <v>27.028700000000001</v>
          </cell>
        </row>
        <row r="1276">
          <cell r="A1276" t="str">
            <v>001.23.07060</v>
          </cell>
          <cell r="B1276" t="str">
            <v>Fornecimento e instalação de reator duplo partida rápida 40w/110v para lampada fluorescente</v>
          </cell>
          <cell r="C1276" t="str">
            <v>UN</v>
          </cell>
          <cell r="D1276">
            <v>28.358699999999999</v>
          </cell>
        </row>
        <row r="1277">
          <cell r="A1277" t="str">
            <v>001.23.07080</v>
          </cell>
          <cell r="B1277" t="str">
            <v>Fornecimento e instalação de reator simples partida rápida 20w/220v</v>
          </cell>
          <cell r="C1277" t="str">
            <v>UN</v>
          </cell>
          <cell r="D1277">
            <v>16.815200000000001</v>
          </cell>
        </row>
        <row r="1278">
          <cell r="A1278" t="str">
            <v>001.23.07100</v>
          </cell>
          <cell r="B1278" t="str">
            <v>Fornecimento e instalaçao de reator simples partida rápida 40w/220v</v>
          </cell>
          <cell r="C1278" t="str">
            <v>UN</v>
          </cell>
          <cell r="D1278">
            <v>17.1052</v>
          </cell>
        </row>
        <row r="1279">
          <cell r="A1279" t="str">
            <v>001.23.07120</v>
          </cell>
          <cell r="B1279" t="str">
            <v>Fornecimento e instalação de reator duplo partida rápida 20w/220v</v>
          </cell>
          <cell r="C1279" t="str">
            <v>UN</v>
          </cell>
          <cell r="D1279">
            <v>27.938700000000001</v>
          </cell>
        </row>
        <row r="1280">
          <cell r="A1280" t="str">
            <v>001.23.07140</v>
          </cell>
          <cell r="B1280" t="str">
            <v>Fornecimento e instalação de reator duplo partida rápida 40w/220v</v>
          </cell>
          <cell r="C1280" t="str">
            <v>UN</v>
          </cell>
          <cell r="D1280">
            <v>27.938700000000001</v>
          </cell>
        </row>
        <row r="1281">
          <cell r="A1281" t="str">
            <v>001.23.07160</v>
          </cell>
          <cell r="B1281" t="str">
            <v>Fornecimento e instalação de  rolo de fita isolante plástica, de 20.00 m</v>
          </cell>
          <cell r="C1281" t="str">
            <v>UN</v>
          </cell>
          <cell r="D1281">
            <v>12.752700000000001</v>
          </cell>
        </row>
        <row r="1282">
          <cell r="A1282" t="str">
            <v>001.23.07180</v>
          </cell>
          <cell r="B1282" t="str">
            <v>Fornecimento e instalação de  rolo de fita isolante plástica, de 10.00 m</v>
          </cell>
          <cell r="C1282" t="str">
            <v>UN</v>
          </cell>
          <cell r="D1282">
            <v>12.1837</v>
          </cell>
        </row>
        <row r="1283">
          <cell r="A1283" t="str">
            <v>001.23.07200</v>
          </cell>
          <cell r="B1283" t="str">
            <v>Fornecimento e instalação de  rolo de fita isolante plástica, de 05.00 m</v>
          </cell>
          <cell r="C1283" t="str">
            <v>UN</v>
          </cell>
          <cell r="D1283">
            <v>5.7964000000000002</v>
          </cell>
        </row>
        <row r="1284">
          <cell r="A1284" t="str">
            <v>001.23.07220</v>
          </cell>
          <cell r="B1284" t="str">
            <v>Fornecimento e instalação de rolo de fita isolante de alta fusão, de 10.00 m</v>
          </cell>
          <cell r="C1284" t="str">
            <v>UN</v>
          </cell>
          <cell r="D1284">
            <v>20.284700000000001</v>
          </cell>
        </row>
        <row r="1285">
          <cell r="A1285" t="str">
            <v>001.24</v>
          </cell>
          <cell r="B1285" t="str">
            <v>INSTALAÇÕES ELÉTRICAS - LÓGICA E TELEFONIA</v>
          </cell>
        </row>
        <row r="1286">
          <cell r="A1286" t="str">
            <v>001.24.00020</v>
          </cell>
          <cell r="B1286" t="str">
            <v>Fornecimento e instalação de fio para telefone 2x22 awg</v>
          </cell>
          <cell r="C1286" t="str">
            <v>M</v>
          </cell>
          <cell r="D1286">
            <v>0.92820000000000003</v>
          </cell>
        </row>
        <row r="1287">
          <cell r="A1287" t="str">
            <v>001.24.00040</v>
          </cell>
          <cell r="B1287" t="str">
            <v>Fornecimento e instalação de cabo tipo UTP , categoria 5 E Azul</v>
          </cell>
          <cell r="C1287" t="str">
            <v>M</v>
          </cell>
          <cell r="D1287">
            <v>1.3385</v>
          </cell>
        </row>
        <row r="1288">
          <cell r="A1288" t="str">
            <v>001.24.00060</v>
          </cell>
          <cell r="B1288" t="str">
            <v>Fornecimento e instalação de terminal rj-45</v>
          </cell>
          <cell r="C1288" t="str">
            <v>UN</v>
          </cell>
          <cell r="D1288">
            <v>2.8477000000000001</v>
          </cell>
        </row>
        <row r="1289">
          <cell r="A1289" t="str">
            <v>001.24.00080</v>
          </cell>
          <cell r="B1289" t="str">
            <v>Fornecimento e instalação de tomada tipo rj45</v>
          </cell>
          <cell r="C1289" t="str">
            <v>UN</v>
          </cell>
          <cell r="D1289">
            <v>11.871499999999999</v>
          </cell>
        </row>
        <row r="1290">
          <cell r="A1290" t="str">
            <v>001.24.00100</v>
          </cell>
          <cell r="B1290" t="str">
            <v>Fornecimento e Instalação de Bandeja  Normal 19''X1UX290 MM Bege ou Preto</v>
          </cell>
          <cell r="C1290" t="str">
            <v>UN</v>
          </cell>
          <cell r="D1290">
            <v>62.569400000000002</v>
          </cell>
        </row>
        <row r="1291">
          <cell r="A1291" t="str">
            <v>001.24.00120</v>
          </cell>
          <cell r="B1291" t="str">
            <v>Certificação De Ponto</v>
          </cell>
          <cell r="C1291" t="str">
            <v>UN</v>
          </cell>
          <cell r="D1291">
            <v>25</v>
          </cell>
        </row>
        <row r="1292">
          <cell r="A1292" t="str">
            <v>001.24.00140</v>
          </cell>
          <cell r="B1292" t="str">
            <v>Fornecimento e Instalação de Conector RJ45 Femea Cat. 5E - Bege ou Preto</v>
          </cell>
          <cell r="C1292" t="str">
            <v>UN</v>
          </cell>
          <cell r="D1292">
            <v>20.098700000000001</v>
          </cell>
        </row>
        <row r="1293">
          <cell r="A1293" t="str">
            <v>001.24.00160</v>
          </cell>
          <cell r="B1293" t="str">
            <v>Fornecimento e Instalação de Guia De Cabo Fechado Horizontal 1U Bege ou Preto</v>
          </cell>
          <cell r="C1293" t="str">
            <v>UN</v>
          </cell>
          <cell r="D1293">
            <v>28.597799999999999</v>
          </cell>
        </row>
        <row r="1294">
          <cell r="A1294" t="str">
            <v>001.24.00180</v>
          </cell>
          <cell r="B1294" t="str">
            <v>Fornecimento e Instalação de Kit De Identificação Elétrica Anilha + Fita</v>
          </cell>
          <cell r="C1294" t="str">
            <v>CJ</v>
          </cell>
          <cell r="D1294">
            <v>3.2151999999999998</v>
          </cell>
        </row>
        <row r="1295">
          <cell r="A1295" t="str">
            <v>001.24.00200</v>
          </cell>
          <cell r="B1295" t="str">
            <v>Fornecimento e Instalação de Kit De Identificação Lógica ( Anilha + Fita)</v>
          </cell>
          <cell r="C1295" t="str">
            <v>CJ</v>
          </cell>
          <cell r="D1295">
            <v>3.2151999999999998</v>
          </cell>
        </row>
        <row r="1296">
          <cell r="A1296" t="str">
            <v>001.24.00220</v>
          </cell>
          <cell r="B1296" t="str">
            <v>Fornecimento e Instalação de Painel Frontal 19''X1U Bege ou Preto</v>
          </cell>
          <cell r="C1296" t="str">
            <v>UN</v>
          </cell>
          <cell r="D1296">
            <v>15.2578</v>
          </cell>
        </row>
        <row r="1297">
          <cell r="A1297" t="str">
            <v>001.24.00240</v>
          </cell>
          <cell r="B1297" t="str">
            <v>Fornecimento e Instalação de Patch Cord  CAT. 5E RIGIDO 2.5M C/ CAPA</v>
          </cell>
          <cell r="C1297" t="str">
            <v>UN</v>
          </cell>
          <cell r="D1297">
            <v>11.702199999999999</v>
          </cell>
        </row>
        <row r="1298">
          <cell r="A1298" t="str">
            <v>001.24.00260</v>
          </cell>
          <cell r="B1298" t="str">
            <v>Fornecimento e Instalação de Patch Cord Cat. 5E Flex. 1.5M  Azul S/ Capa</v>
          </cell>
          <cell r="C1298" t="str">
            <v>UN</v>
          </cell>
          <cell r="D1298">
            <v>11.402200000000001</v>
          </cell>
        </row>
        <row r="1299">
          <cell r="A1299" t="str">
            <v>001.24.00280</v>
          </cell>
          <cell r="B1299" t="str">
            <v>Fornecimento e Instalação de Patch Painel 24 Portas Categoria 5E</v>
          </cell>
          <cell r="C1299" t="str">
            <v>UN</v>
          </cell>
          <cell r="D1299">
            <v>518.79880000000003</v>
          </cell>
        </row>
        <row r="1300">
          <cell r="A1300" t="str">
            <v>001.24.00300</v>
          </cell>
          <cell r="B1300" t="str">
            <v>Fornecimento e Instalação de Porca Gaiola 5MM Fechado Com 02 Ventilador</v>
          </cell>
          <cell r="C1300" t="str">
            <v>UN</v>
          </cell>
          <cell r="D1300">
            <v>1.9235</v>
          </cell>
        </row>
        <row r="1301">
          <cell r="A1301" t="str">
            <v>001.24.00320</v>
          </cell>
          <cell r="B1301" t="str">
            <v>Fornecimento e Instalação de Rack 19''X12UX550MM Fechado Com 02 Ventilador</v>
          </cell>
          <cell r="C1301" t="str">
            <v>UN</v>
          </cell>
          <cell r="D1301">
            <v>858.37760000000003</v>
          </cell>
        </row>
        <row r="1302">
          <cell r="A1302" t="str">
            <v>001.24.00340</v>
          </cell>
          <cell r="B1302" t="str">
            <v>Fornecimento e Instalação de Régua 19'' Com 6 Tomadas 2P+T</v>
          </cell>
          <cell r="C1302" t="str">
            <v>UN</v>
          </cell>
          <cell r="D1302">
            <v>88.037800000000004</v>
          </cell>
        </row>
        <row r="1303">
          <cell r="A1303" t="str">
            <v>001.24.00360</v>
          </cell>
          <cell r="B1303" t="str">
            <v>Fornecimento e Instalação de Switch 24P AT - FS724I 10/100</v>
          </cell>
          <cell r="C1303" t="str">
            <v>UN</v>
          </cell>
          <cell r="D1303">
            <v>1089.3188</v>
          </cell>
        </row>
        <row r="1304">
          <cell r="A1304" t="str">
            <v>001.24.00380</v>
          </cell>
          <cell r="B1304" t="str">
            <v>Fornecimento e Instalação de Tampa Encaixe  50 x 50 x 300 mm</v>
          </cell>
          <cell r="C1304" t="str">
            <v>BR</v>
          </cell>
          <cell r="D1304">
            <v>10.848699999999999</v>
          </cell>
        </row>
        <row r="1305">
          <cell r="A1305" t="str">
            <v>001.24.00400</v>
          </cell>
          <cell r="B1305" t="str">
            <v>Fornecimento e Instalação de Calha Lisa 50 x 50 x 300 mm Tipo U</v>
          </cell>
          <cell r="C1305" t="str">
            <v>BR</v>
          </cell>
          <cell r="D1305">
            <v>43.729399999999998</v>
          </cell>
        </row>
        <row r="1306">
          <cell r="A1306" t="str">
            <v>001.24.00420</v>
          </cell>
          <cell r="B1306" t="str">
            <v>Fornecimento e Instalação de Tomada para Telefone tipo Telebrás de Embutir com espelho para caixa 4x2"""""""", Linha Popular</v>
          </cell>
          <cell r="C1306" t="str">
            <v>CJ</v>
          </cell>
          <cell r="D1306">
            <v>6.2869000000000002</v>
          </cell>
        </row>
        <row r="1307">
          <cell r="A1307" t="str">
            <v>001.24.00440</v>
          </cell>
          <cell r="B1307" t="str">
            <v>Fornecimento e Instalação de Tomada para Telefone RJ 11 de Embutir com espelho para caixa 4x2"""""""", Linha Popular</v>
          </cell>
          <cell r="C1307" t="str">
            <v>CJ</v>
          </cell>
          <cell r="D1307">
            <v>5.8468999999999998</v>
          </cell>
        </row>
        <row r="1308">
          <cell r="A1308" t="str">
            <v>001.24.00460</v>
          </cell>
          <cell r="B1308" t="str">
            <v>Fornecimento e Instalação de Tomada para Rede de Informática RJ 45 de Embutir com espelho para caixa 4x2"""""""", Linha Popular</v>
          </cell>
          <cell r="C1308" t="str">
            <v>CJ</v>
          </cell>
          <cell r="D1308">
            <v>21.1569</v>
          </cell>
        </row>
        <row r="1309">
          <cell r="A1309" t="str">
            <v>001.24.00480</v>
          </cell>
          <cell r="B1309" t="str">
            <v>Fornecimento e Instalação de Tomada para Rede de Informática com 2 RJ 45 de Embutir com espelho para caixa 4x4"""""""", Linha Popular</v>
          </cell>
          <cell r="C1309" t="str">
            <v>CJ</v>
          </cell>
          <cell r="D1309">
            <v>2.8868999999999998</v>
          </cell>
        </row>
        <row r="1310">
          <cell r="A1310" t="str">
            <v>001.24.00500</v>
          </cell>
          <cell r="B1310" t="str">
            <v>Fornecimento e Instalação de Tomada para Telefone tipo Telebrás de Embutir para piso com espelho em latão para caixa 4x2""""""""</v>
          </cell>
          <cell r="C1310" t="str">
            <v>CJ</v>
          </cell>
          <cell r="D1310">
            <v>18.1569</v>
          </cell>
        </row>
        <row r="1311">
          <cell r="A1311" t="str">
            <v>001.24.00520</v>
          </cell>
          <cell r="B1311" t="str">
            <v>Fornecimento e Instalação de Tomada para Telefone RJ 11 de Embutir para piso com espelho em latão para caixa 4x2""""""""</v>
          </cell>
          <cell r="C1311" t="str">
            <v>CJ</v>
          </cell>
          <cell r="D1311">
            <v>12.5069</v>
          </cell>
        </row>
        <row r="1312">
          <cell r="A1312" t="str">
            <v>001.24.00540</v>
          </cell>
          <cell r="B1312" t="str">
            <v>Fornecimento e Instalação de Tomada para Rede de Informática RJ 45 de Embutir para piso com espelho para latão em caixa 4x2""""""""</v>
          </cell>
          <cell r="C1312" t="str">
            <v>CJ</v>
          </cell>
          <cell r="D1312">
            <v>11.636900000000001</v>
          </cell>
        </row>
        <row r="1313">
          <cell r="A1313" t="str">
            <v>001.24.00560</v>
          </cell>
          <cell r="B1313" t="str">
            <v>Fornecimento e Instalação de Tomada para Rede de Informática com 2 RJ 45 de Embutir para piso com espelho em latão para caixa 4x2""""""""</v>
          </cell>
          <cell r="C1313" t="str">
            <v>CJ</v>
          </cell>
          <cell r="D1313">
            <v>8.1168999999999993</v>
          </cell>
        </row>
        <row r="1314">
          <cell r="A1314" t="str">
            <v>001.24.00580</v>
          </cell>
          <cell r="B1314" t="str">
            <v>Fornecimento e instalação de caixa metálica p/ telefone n.1 10.00x10.00x5.00 cm</v>
          </cell>
          <cell r="C1314" t="str">
            <v>UN</v>
          </cell>
          <cell r="D1314">
            <v>1.7357</v>
          </cell>
        </row>
        <row r="1315">
          <cell r="A1315" t="str">
            <v>001.24.00600</v>
          </cell>
          <cell r="B1315" t="str">
            <v>Fornecimento e instalação de caixa metálica p/ telefone n.2 20.00x20.00x12.00 cm</v>
          </cell>
          <cell r="C1315" t="str">
            <v>UN</v>
          </cell>
          <cell r="D1315">
            <v>32.167999999999999</v>
          </cell>
        </row>
        <row r="1316">
          <cell r="A1316" t="str">
            <v>001.24.00620</v>
          </cell>
          <cell r="B1316" t="str">
            <v>Fornecimento e instalação de caixa metálica p/ telefone n.3 40.00x40.00x12.00 cm</v>
          </cell>
          <cell r="C1316" t="str">
            <v>UN</v>
          </cell>
          <cell r="D1316">
            <v>65.506799999999998</v>
          </cell>
        </row>
        <row r="1317">
          <cell r="A1317" t="str">
            <v>001.24.00640</v>
          </cell>
          <cell r="B1317" t="str">
            <v>Fornecimento e instalação de caixa metálica p/ telefone n.4 60.00x60.00x12.00 cm</v>
          </cell>
          <cell r="C1317" t="str">
            <v>UN</v>
          </cell>
          <cell r="D1317">
            <v>113.456</v>
          </cell>
        </row>
        <row r="1318">
          <cell r="A1318" t="str">
            <v>001.24.00660</v>
          </cell>
          <cell r="B1318" t="str">
            <v>Fornecimento e instalação de caixa metálica p/ telefone n.5 80.00x80.00x12.00 cm</v>
          </cell>
          <cell r="C1318" t="str">
            <v>UN</v>
          </cell>
          <cell r="D1318">
            <v>198.5401</v>
          </cell>
        </row>
        <row r="1319">
          <cell r="A1319" t="str">
            <v>001.24.00680</v>
          </cell>
          <cell r="B1319" t="str">
            <v>Fornecimento e instalação de caixa metálica p/ telefone n.6 120.00x120.00x12.00 cm</v>
          </cell>
          <cell r="C1319" t="str">
            <v>UN</v>
          </cell>
          <cell r="D1319">
            <v>400.16359999999997</v>
          </cell>
        </row>
        <row r="1320">
          <cell r="A1320" t="str">
            <v>001.25</v>
          </cell>
          <cell r="B1320" t="str">
            <v>INSTALAÇÕES ELÉTRICAS - PREVENÇÃO CONTRA DESCARGAS ATMOSFÉRICAS E INCÊNDIO</v>
          </cell>
        </row>
        <row r="1321">
          <cell r="A1321" t="str">
            <v>001.25.00020</v>
          </cell>
          <cell r="B1321" t="str">
            <v>Fornecimento e Instalação de Cabo de cobre nú seção 10.00 mm2</v>
          </cell>
          <cell r="C1321" t="str">
            <v>ML</v>
          </cell>
          <cell r="D1321">
            <v>4.0850999999999997</v>
          </cell>
        </row>
        <row r="1322">
          <cell r="A1322" t="str">
            <v>001.25.00040</v>
          </cell>
          <cell r="B1322" t="str">
            <v>Fornecimento e Instalação de Cabo de cobre nú seção 16.00 mm2</v>
          </cell>
          <cell r="C1322" t="str">
            <v>ML</v>
          </cell>
          <cell r="D1322">
            <v>6.4973999999999998</v>
          </cell>
        </row>
        <row r="1323">
          <cell r="A1323" t="str">
            <v>001.25.00060</v>
          </cell>
          <cell r="B1323" t="str">
            <v>Fornecimento e Instalação de Cabo de cobre nú seção 25.00 mm2</v>
          </cell>
          <cell r="C1323" t="str">
            <v>ML</v>
          </cell>
          <cell r="D1323">
            <v>6.4973999999999998</v>
          </cell>
        </row>
        <row r="1324">
          <cell r="A1324" t="str">
            <v>001.25.00080</v>
          </cell>
          <cell r="B1324" t="str">
            <v>Fornecimento e Instalação de Cabo de cobre nú seção 35.00 mm2</v>
          </cell>
          <cell r="C1324" t="str">
            <v>ML</v>
          </cell>
          <cell r="D1324">
            <v>8.6547000000000001</v>
          </cell>
        </row>
        <row r="1325">
          <cell r="A1325" t="str">
            <v>001.25.00100</v>
          </cell>
          <cell r="B1325" t="str">
            <v>Fornecimento e Instalação de Cabo de cobre nú seção 50.00 mm2</v>
          </cell>
          <cell r="C1325" t="str">
            <v>ML</v>
          </cell>
          <cell r="D1325">
            <v>13.040699999999999</v>
          </cell>
        </row>
        <row r="1326">
          <cell r="A1326" t="str">
            <v>001.25.00120</v>
          </cell>
          <cell r="B1326" t="str">
            <v>Fornecimento e Instalação de Cabo de cobre nú seção 70.00 mm2</v>
          </cell>
          <cell r="C1326" t="str">
            <v>ML</v>
          </cell>
          <cell r="D1326">
            <v>16.8249</v>
          </cell>
        </row>
        <row r="1327">
          <cell r="A1327" t="str">
            <v>001.25.00140</v>
          </cell>
          <cell r="B1327" t="str">
            <v>Fornecimento e Instalação de Cabo de cobre nú seção 95.00 mm2</v>
          </cell>
          <cell r="C1327" t="str">
            <v>ML</v>
          </cell>
          <cell r="D1327">
            <v>22.898900000000001</v>
          </cell>
        </row>
        <row r="1328">
          <cell r="A1328" t="str">
            <v>001.25.00160</v>
          </cell>
          <cell r="B1328" t="str">
            <v>Fornecimento e Instalação de Relee fotoelétrico para comando automático de iluminação 110V/220V, incl. Base</v>
          </cell>
          <cell r="C1328" t="str">
            <v>UN</v>
          </cell>
          <cell r="D1328">
            <v>23.977399999999999</v>
          </cell>
        </row>
        <row r="1329">
          <cell r="A1329" t="str">
            <v>001.25.00180</v>
          </cell>
          <cell r="B1329" t="str">
            <v>Execução de caixa de concreto 40x40x60cm com tampa de concreto armado</v>
          </cell>
          <cell r="C1329" t="str">
            <v>UN</v>
          </cell>
          <cell r="D1329">
            <v>49.494199999999999</v>
          </cell>
        </row>
        <row r="1330">
          <cell r="A1330" t="str">
            <v>001.25.00200</v>
          </cell>
          <cell r="B1330" t="str">
            <v>Fornecimento e Instalação de Solda Exotérmica 25</v>
          </cell>
          <cell r="C1330" t="str">
            <v>UN</v>
          </cell>
          <cell r="D1330">
            <v>6.8174000000000001</v>
          </cell>
        </row>
        <row r="1331">
          <cell r="A1331" t="str">
            <v>001.25.00220</v>
          </cell>
          <cell r="B1331" t="str">
            <v>Fornecimento e Instalação de Solda Exotérmica 32</v>
          </cell>
          <cell r="C1331" t="str">
            <v>UN</v>
          </cell>
          <cell r="D1331">
            <v>7.4173999999999998</v>
          </cell>
        </row>
        <row r="1332">
          <cell r="A1332" t="str">
            <v>001.25.00240</v>
          </cell>
          <cell r="B1332" t="str">
            <v>Fornecimento e Instalação de Solda Exotérmica 45</v>
          </cell>
          <cell r="C1332" t="str">
            <v>UN</v>
          </cell>
          <cell r="D1332">
            <v>7.8174000000000001</v>
          </cell>
        </row>
        <row r="1333">
          <cell r="A1333" t="str">
            <v>001.25.00260</v>
          </cell>
          <cell r="B1333" t="str">
            <v>Fornecimento e Instalação de Solda Exotérmica 65</v>
          </cell>
          <cell r="C1333" t="str">
            <v>UN</v>
          </cell>
          <cell r="D1333">
            <v>8.2173999999999996</v>
          </cell>
        </row>
        <row r="1334">
          <cell r="A1334" t="str">
            <v>001.25.00280</v>
          </cell>
          <cell r="B1334" t="str">
            <v>Fornecimento e Instalação de Solda Exotérmica 90</v>
          </cell>
          <cell r="C1334" t="str">
            <v>UN</v>
          </cell>
          <cell r="D1334">
            <v>9.3173999999999992</v>
          </cell>
        </row>
        <row r="1335">
          <cell r="A1335" t="str">
            <v>001.25.00300</v>
          </cell>
          <cell r="B1335" t="str">
            <v>Fornecimento e Instalação de Solda Exotérmica 115</v>
          </cell>
          <cell r="C1335" t="str">
            <v>UN</v>
          </cell>
          <cell r="D1335">
            <v>10.2174</v>
          </cell>
        </row>
        <row r="1336">
          <cell r="A1336" t="str">
            <v>001.25.00320</v>
          </cell>
          <cell r="B1336" t="str">
            <v>Fornecimento e Instalação de Solda Exotérmica 150</v>
          </cell>
          <cell r="C1336" t="str">
            <v>UN</v>
          </cell>
          <cell r="D1336">
            <v>11.417400000000001</v>
          </cell>
        </row>
        <row r="1337">
          <cell r="A1337" t="str">
            <v>001.25.00340</v>
          </cell>
          <cell r="B1337" t="str">
            <v>Fornecimento e Instalação de Solda Exotérmica 200</v>
          </cell>
          <cell r="C1337" t="str">
            <v>UN</v>
          </cell>
          <cell r="D1337">
            <v>13.1174</v>
          </cell>
        </row>
        <row r="1338">
          <cell r="A1338" t="str">
            <v>001.25.00360</v>
          </cell>
          <cell r="B1338" t="str">
            <v>Fornecimento E Instalação De Captor Tipo Franklin - Latão Niquelado De 300mm 1 Descida</v>
          </cell>
          <cell r="C1338" t="str">
            <v>UN</v>
          </cell>
          <cell r="D1338">
            <v>28.497800000000002</v>
          </cell>
        </row>
        <row r="1339">
          <cell r="A1339" t="str">
            <v>001.25.00380</v>
          </cell>
          <cell r="B1339" t="str">
            <v>Fornecimento E Instalação De Captor Tipo Franklin - Latão Niquelado De 350mm 1 Descida</v>
          </cell>
          <cell r="C1339" t="str">
            <v>UN</v>
          </cell>
          <cell r="D1339">
            <v>53.767800000000001</v>
          </cell>
        </row>
        <row r="1340">
          <cell r="A1340" t="str">
            <v>001.25.00400</v>
          </cell>
          <cell r="B1340" t="str">
            <v>Fornecimento E Instalação De Captor Tipo Franklin - Latão Niquelado De 300 Mm 2 Descidas</v>
          </cell>
          <cell r="C1340" t="str">
            <v>UN</v>
          </cell>
          <cell r="D1340">
            <v>37.017800000000001</v>
          </cell>
        </row>
        <row r="1341">
          <cell r="A1341" t="str">
            <v>001.25.00420</v>
          </cell>
          <cell r="B1341" t="str">
            <v>Fornecimento E Instalação De Captor Tipo Franklin - Latão Niquelado De 350 Mm 2 Descidas</v>
          </cell>
          <cell r="C1341" t="str">
            <v>UN</v>
          </cell>
          <cell r="D1341">
            <v>57.2378</v>
          </cell>
        </row>
        <row r="1342">
          <cell r="A1342" t="str">
            <v>001.25.00440</v>
          </cell>
          <cell r="B1342" t="str">
            <v>Fornecimento E Instalação De Captor Tipo Franklin - Inox De 300 Mm 1 Descida</v>
          </cell>
          <cell r="C1342" t="str">
            <v>UN</v>
          </cell>
          <cell r="D1342">
            <v>85.767799999999994</v>
          </cell>
        </row>
        <row r="1343">
          <cell r="A1343" t="str">
            <v>001.25.00460</v>
          </cell>
          <cell r="B1343" t="str">
            <v>Fornecimento E Instalação De Captor Tipo Franklin - Inox De 300 Mm 2 Descidas</v>
          </cell>
          <cell r="C1343" t="str">
            <v>UN</v>
          </cell>
          <cell r="D1343">
            <v>97.967799999999997</v>
          </cell>
        </row>
        <row r="1344">
          <cell r="A1344" t="str">
            <v>001.25.00480</v>
          </cell>
          <cell r="B1344" t="str">
            <v>Fornecimento E Instalação De Terminais Aéreos - Fixação Horizontal De 300 Mm S/ Abraçadeira</v>
          </cell>
          <cell r="C1344" t="str">
            <v>UN</v>
          </cell>
          <cell r="D1344">
            <v>6.9055999999999997</v>
          </cell>
        </row>
        <row r="1345">
          <cell r="A1345" t="str">
            <v>001.25.00500</v>
          </cell>
          <cell r="B1345" t="str">
            <v>Fornecimento E Instalação De Terminais Aéreos - Fixação Horizontal De 300 Mm C/ Abraçadeira</v>
          </cell>
          <cell r="C1345" t="str">
            <v>UN</v>
          </cell>
          <cell r="D1345">
            <v>8.0155999999999992</v>
          </cell>
        </row>
        <row r="1346">
          <cell r="A1346" t="str">
            <v>001.25.00520</v>
          </cell>
          <cell r="B1346" t="str">
            <v>Fornecimento E Instalação De Terminais Aéreos - Fixação Horizontal De 600 Mm S/ Abraçadeira</v>
          </cell>
          <cell r="C1346" t="str">
            <v>UN</v>
          </cell>
          <cell r="D1346">
            <v>8.0755999999999997</v>
          </cell>
        </row>
        <row r="1347">
          <cell r="A1347" t="str">
            <v>001.25.00540</v>
          </cell>
          <cell r="B1347" t="str">
            <v>Fornecimento e Instalação de Terminais aéreos - Fixação Horizontal de 600 mm C/ Abraçadeira</v>
          </cell>
          <cell r="C1347" t="str">
            <v>UN</v>
          </cell>
          <cell r="D1347">
            <v>9.1555999999999997</v>
          </cell>
        </row>
        <row r="1348">
          <cell r="A1348" t="str">
            <v>001.25.00560</v>
          </cell>
          <cell r="B1348" t="str">
            <v>Fornecimento E Instalação De Terminais Aéreos - Fixação Vertical De 300 Mm S/ Abraçadeira</v>
          </cell>
          <cell r="C1348" t="str">
            <v>UN</v>
          </cell>
          <cell r="D1348">
            <v>6.9055999999999997</v>
          </cell>
        </row>
        <row r="1349">
          <cell r="A1349" t="str">
            <v>001.25.00580</v>
          </cell>
          <cell r="B1349" t="str">
            <v>Fornecimento e Instalação de Terminais Aéreos -Fixação Vertical de 300 mm C/ Abraçadeira</v>
          </cell>
          <cell r="C1349" t="str">
            <v>UN</v>
          </cell>
          <cell r="D1349">
            <v>8.0155999999999992</v>
          </cell>
        </row>
        <row r="1350">
          <cell r="A1350" t="str">
            <v>001.25.00600</v>
          </cell>
          <cell r="B1350" t="str">
            <v>Fornecimento E Instalação De Terminais Aéreos - Fixação Vertical De 600 Mm S/ Abraçadeira</v>
          </cell>
          <cell r="C1350" t="str">
            <v>UN</v>
          </cell>
          <cell r="D1350">
            <v>8.0755999999999997</v>
          </cell>
        </row>
        <row r="1351">
          <cell r="A1351" t="str">
            <v>001.25.00620</v>
          </cell>
          <cell r="B1351" t="str">
            <v>Fornecimento E Instalação De Treminais Aéreos - Fixação Vertical De 600 Mm C/ Abraçadeira</v>
          </cell>
          <cell r="C1351" t="str">
            <v>UN</v>
          </cell>
          <cell r="D1351">
            <v>9.1555999999999997</v>
          </cell>
        </row>
        <row r="1352">
          <cell r="A1352" t="str">
            <v>001.25.00640</v>
          </cell>
          <cell r="B1352" t="str">
            <v>Fornecimento E Instalção De Isolador De Uso Geral - Fixação Horizontal Simples</v>
          </cell>
          <cell r="C1352" t="str">
            <v>UN</v>
          </cell>
          <cell r="D1352">
            <v>5.5937999999999999</v>
          </cell>
        </row>
        <row r="1353">
          <cell r="A1353" t="str">
            <v>001.25.00660</v>
          </cell>
          <cell r="B1353" t="str">
            <v>Fornecimento E Instalação De Isolador De Uso Geral - Fixação Horizontal Simples C/ 100 Mm</v>
          </cell>
          <cell r="C1353" t="str">
            <v>UN</v>
          </cell>
          <cell r="D1353">
            <v>4.7737999999999996</v>
          </cell>
        </row>
        <row r="1354">
          <cell r="A1354" t="str">
            <v>001.25.00680</v>
          </cell>
          <cell r="B1354" t="str">
            <v>Fornecimento E Instalação De Isolador De Uso Geral - Fixação Horizontal Reforçado</v>
          </cell>
          <cell r="C1354" t="str">
            <v>UN</v>
          </cell>
          <cell r="D1354">
            <v>5.3338000000000001</v>
          </cell>
        </row>
        <row r="1355">
          <cell r="A1355" t="str">
            <v>001.25.00700</v>
          </cell>
          <cell r="B1355" t="str">
            <v>Fornecimento E Instalação De Isolador De Uso Geral - Fixação Horizontal  Reforçado C/ 100 Mm</v>
          </cell>
          <cell r="C1355" t="str">
            <v>UN</v>
          </cell>
          <cell r="D1355">
            <v>6.4337999999999997</v>
          </cell>
        </row>
        <row r="1356">
          <cell r="A1356" t="str">
            <v>001.25.00720</v>
          </cell>
          <cell r="B1356" t="str">
            <v>Fornecimento e Instalação de Isolador de Uso Geral - Fixação em 90º Reforçado 90º</v>
          </cell>
          <cell r="C1356" t="str">
            <v>UN</v>
          </cell>
          <cell r="D1356">
            <v>9.4337999999999997</v>
          </cell>
        </row>
        <row r="1357">
          <cell r="A1357" t="str">
            <v>001.25.00740</v>
          </cell>
          <cell r="B1357" t="str">
            <v>Fornecimento E Instalação De Isolador De Uso Geral - Fixação Em 90º Reforçado 90º C/ 100 Mm</v>
          </cell>
          <cell r="C1357" t="str">
            <v>UN</v>
          </cell>
          <cell r="D1357">
            <v>9.4337999999999997</v>
          </cell>
        </row>
        <row r="1358">
          <cell r="A1358" t="str">
            <v>001.25.00760</v>
          </cell>
          <cell r="B1358" t="str">
            <v>Fornecimento E Instalação De Isolador De Uso Geral - Isolador P/ Telha Tipo Consid Reforçado</v>
          </cell>
          <cell r="C1358" t="str">
            <v>UN</v>
          </cell>
          <cell r="D1358">
            <v>10.883800000000001</v>
          </cell>
        </row>
        <row r="1359">
          <cell r="A1359" t="str">
            <v>001.25.00780</v>
          </cell>
          <cell r="B1359" t="str">
            <v>Fornecimento E Instalação De Mastro H De 2,00 M X 1. 1/2''</v>
          </cell>
          <cell r="C1359" t="str">
            <v>UN</v>
          </cell>
          <cell r="D1359">
            <v>45.100900000000003</v>
          </cell>
        </row>
        <row r="1360">
          <cell r="A1360" t="str">
            <v>001.25.00800</v>
          </cell>
          <cell r="B1360" t="str">
            <v>Fornecimento E Instalação De Mastro H De 3,00m X 1. 1/2''</v>
          </cell>
          <cell r="C1360" t="str">
            <v>UN</v>
          </cell>
          <cell r="D1360">
            <v>64.880899999999997</v>
          </cell>
        </row>
        <row r="1361">
          <cell r="A1361" t="str">
            <v>001.25.00820</v>
          </cell>
          <cell r="B1361" t="str">
            <v>Fornecimento E Instalação De Mastro H De 4,00 M X 1. 1/2''</v>
          </cell>
          <cell r="C1361" t="str">
            <v>UN</v>
          </cell>
          <cell r="D1361">
            <v>89.010900000000007</v>
          </cell>
        </row>
        <row r="1362">
          <cell r="A1362" t="str">
            <v>001.25.00840</v>
          </cell>
          <cell r="B1362" t="str">
            <v>Fornecimento E Instalação de Mastro H de 5,00 m x 1. 1/2''</v>
          </cell>
          <cell r="C1362" t="str">
            <v>UN</v>
          </cell>
          <cell r="D1362">
            <v>104.4609</v>
          </cell>
        </row>
        <row r="1363">
          <cell r="A1363" t="str">
            <v>001.25.00860</v>
          </cell>
          <cell r="B1363" t="str">
            <v>Fornecimento E Instalação De Mastro H De 6,00 M X 1. 1/2''</v>
          </cell>
          <cell r="C1363" t="str">
            <v>UN</v>
          </cell>
          <cell r="D1363">
            <v>124.1109</v>
          </cell>
        </row>
        <row r="1364">
          <cell r="A1364" t="str">
            <v>001.25.00880</v>
          </cell>
          <cell r="B1364" t="str">
            <v>Fornecimento E Instalação De Mastro H De 2,00 M X 2''</v>
          </cell>
          <cell r="C1364" t="str">
            <v>UN</v>
          </cell>
          <cell r="D1364">
            <v>54.050899999999999</v>
          </cell>
        </row>
        <row r="1365">
          <cell r="A1365" t="str">
            <v>001.25.00900</v>
          </cell>
          <cell r="B1365" t="str">
            <v>Fornecimento E Instalação De Mastro H De 3,00 M X 2''</v>
          </cell>
          <cell r="C1365" t="str">
            <v>UN</v>
          </cell>
          <cell r="D1365">
            <v>77.880899999999997</v>
          </cell>
        </row>
        <row r="1366">
          <cell r="A1366" t="str">
            <v>001.25.00920</v>
          </cell>
          <cell r="B1366" t="str">
            <v>Fornecimento E Instalação De Masto H De 4,00 M X 2''</v>
          </cell>
          <cell r="C1366" t="str">
            <v>UN</v>
          </cell>
          <cell r="D1366">
            <v>103.6009</v>
          </cell>
        </row>
        <row r="1367">
          <cell r="A1367" t="str">
            <v>001.25.00940</v>
          </cell>
          <cell r="B1367" t="str">
            <v>Fornecimento E Instalação De Mastro H De 5,00 M X 2''</v>
          </cell>
          <cell r="C1367" t="str">
            <v>UN</v>
          </cell>
          <cell r="D1367">
            <v>126.2709</v>
          </cell>
        </row>
        <row r="1368">
          <cell r="A1368" t="str">
            <v>001.25.00960</v>
          </cell>
          <cell r="B1368" t="str">
            <v>Fornecimento E Instalação De Mastro H De 6,00 M X 2''</v>
          </cell>
          <cell r="C1368" t="str">
            <v>UN</v>
          </cell>
          <cell r="D1368">
            <v>150.11089999999999</v>
          </cell>
        </row>
        <row r="1369">
          <cell r="A1369" t="str">
            <v>001.25.00980</v>
          </cell>
          <cell r="B1369" t="str">
            <v>Fornecimento E Instalação De Mastro Telescópico H De 5,00 M X 1. 1/2'' E 2''</v>
          </cell>
          <cell r="C1369" t="str">
            <v>UN</v>
          </cell>
          <cell r="D1369">
            <v>159.3509</v>
          </cell>
        </row>
        <row r="1370">
          <cell r="A1370" t="str">
            <v>001.25.01000</v>
          </cell>
          <cell r="B1370" t="str">
            <v>Fornecimento E Instalação De Mastro Telescópico H De 7,00 M X 1. 1/2'' E 2''</v>
          </cell>
          <cell r="C1370" t="str">
            <v>UN</v>
          </cell>
          <cell r="D1370">
            <v>220.8809</v>
          </cell>
        </row>
        <row r="1371">
          <cell r="A1371" t="str">
            <v>001.25.01020</v>
          </cell>
          <cell r="B1371" t="str">
            <v>Fornecimento E Instalação De Mastro Telescópico H De 9,00 M X 1. 1/2'' E 2''</v>
          </cell>
          <cell r="C1371" t="str">
            <v>UN</v>
          </cell>
          <cell r="D1371">
            <v>281.55090000000001</v>
          </cell>
        </row>
        <row r="1372">
          <cell r="A1372" t="str">
            <v>001.25.01040</v>
          </cell>
          <cell r="B1372" t="str">
            <v>Fornecimento E Instalação De Isolador P/ Mastro - Simples 1 Descida De 3/4''</v>
          </cell>
          <cell r="C1372" t="str">
            <v>UN</v>
          </cell>
          <cell r="D1372">
            <v>6.6337999999999999</v>
          </cell>
        </row>
        <row r="1373">
          <cell r="A1373" t="str">
            <v>001.25.01060</v>
          </cell>
          <cell r="B1373" t="str">
            <v>Fornecimento E Instalação De Isolador P/ Mastro - Simples 1 Descida De 1''</v>
          </cell>
          <cell r="C1373" t="str">
            <v>UN</v>
          </cell>
          <cell r="D1373">
            <v>6.7637999999999998</v>
          </cell>
        </row>
        <row r="1374">
          <cell r="A1374" t="str">
            <v>001.25.01080</v>
          </cell>
          <cell r="B1374" t="str">
            <v>Fornecimento E Instalação De Isolador P/ Mastro - Simples 1 Descida De 1. 1/4''</v>
          </cell>
          <cell r="C1374" t="str">
            <v>UN</v>
          </cell>
          <cell r="D1374">
            <v>7.2438000000000002</v>
          </cell>
        </row>
        <row r="1375">
          <cell r="A1375" t="str">
            <v>001.25.01100</v>
          </cell>
          <cell r="B1375" t="str">
            <v>Fornecimento E Instalação De Isolador P/ Mastro - Simples 1 Descida De 1. 1/2''</v>
          </cell>
          <cell r="C1375" t="str">
            <v>UN</v>
          </cell>
          <cell r="D1375">
            <v>7.3837999999999999</v>
          </cell>
        </row>
        <row r="1376">
          <cell r="A1376" t="str">
            <v>001.25.01120</v>
          </cell>
          <cell r="B1376" t="str">
            <v>Fornecimento E Instalação De Isolador P/ Mastro - Simples 1 Descida De 2''</v>
          </cell>
          <cell r="C1376" t="str">
            <v>UN</v>
          </cell>
          <cell r="D1376">
            <v>7.6138000000000003</v>
          </cell>
        </row>
        <row r="1377">
          <cell r="A1377" t="str">
            <v>001.25.01140</v>
          </cell>
          <cell r="B1377" t="str">
            <v>Fornecimento E Instalação De Isolador P/ Mastro - Simples 2 Descidas De 3/4''</v>
          </cell>
          <cell r="C1377" t="str">
            <v>UN</v>
          </cell>
          <cell r="D1377">
            <v>7.1538000000000004</v>
          </cell>
        </row>
        <row r="1378">
          <cell r="A1378" t="str">
            <v>001.25.01160</v>
          </cell>
          <cell r="B1378" t="str">
            <v>Fornecimento E Instalação De Isolador P/ Mastro - Simples 2 Descidas De 1''</v>
          </cell>
          <cell r="C1378" t="str">
            <v>UN</v>
          </cell>
          <cell r="D1378">
            <v>7.3137999999999996</v>
          </cell>
        </row>
        <row r="1379">
          <cell r="A1379" t="str">
            <v>001.25.01180</v>
          </cell>
          <cell r="B1379" t="str">
            <v>Fornecimento E Instalação De Isolador P/ Mastro - Simples 2 Descidas De 1. 1/4''</v>
          </cell>
          <cell r="C1379" t="str">
            <v>UN</v>
          </cell>
          <cell r="D1379">
            <v>7.9337999999999997</v>
          </cell>
        </row>
        <row r="1380">
          <cell r="A1380" t="str">
            <v>001.25.01200</v>
          </cell>
          <cell r="B1380" t="str">
            <v>Fornecimento E Instalação De Isolador P/ Mastro - Simples 2 Descidas De 1. 1/2''</v>
          </cell>
          <cell r="C1380" t="str">
            <v>UN</v>
          </cell>
          <cell r="D1380">
            <v>8.4537999999999993</v>
          </cell>
        </row>
        <row r="1381">
          <cell r="A1381" t="str">
            <v>001.25.01220</v>
          </cell>
          <cell r="B1381" t="str">
            <v>Fornecimento E Instalação De Isolador P/ Mastro - Simples 2 Descidas De 2''</v>
          </cell>
          <cell r="C1381" t="str">
            <v>UN</v>
          </cell>
          <cell r="D1381">
            <v>8.7737999999999996</v>
          </cell>
        </row>
        <row r="1382">
          <cell r="A1382" t="str">
            <v>001.25.01240</v>
          </cell>
          <cell r="B1382" t="str">
            <v>Fornecimento E Instalação De Isolador P/ Mastro - Reforçado 1 Descida De 3/4''</v>
          </cell>
          <cell r="C1382" t="str">
            <v>UN</v>
          </cell>
          <cell r="D1382">
            <v>8.6137999999999995</v>
          </cell>
        </row>
        <row r="1383">
          <cell r="A1383" t="str">
            <v>001.25.01260</v>
          </cell>
          <cell r="B1383" t="str">
            <v>Fornecimento E Instalação De Isolador P/ Mastro - Reforçado 1 Descida De 1''</v>
          </cell>
          <cell r="C1383" t="str">
            <v>UN</v>
          </cell>
          <cell r="D1383">
            <v>8.6137999999999995</v>
          </cell>
        </row>
        <row r="1384">
          <cell r="A1384" t="str">
            <v>001.25.01280</v>
          </cell>
          <cell r="B1384" t="str">
            <v>Fornecimento E Instalação De Isolador P/ Mastro - Reforçado 1 Descida De 1. 1/4''</v>
          </cell>
          <cell r="C1384" t="str">
            <v>UN</v>
          </cell>
          <cell r="D1384">
            <v>9.0337999999999994</v>
          </cell>
        </row>
        <row r="1385">
          <cell r="A1385" t="str">
            <v>001.25.01300</v>
          </cell>
          <cell r="B1385" t="str">
            <v>Fornecimento E Instalação De Isolador P/ Mastro - Reforçado 1 Descida De 1. 1/2''</v>
          </cell>
          <cell r="C1385" t="str">
            <v>UN</v>
          </cell>
          <cell r="D1385">
            <v>9.7737999999999996</v>
          </cell>
        </row>
        <row r="1386">
          <cell r="A1386" t="str">
            <v>001.25.01320</v>
          </cell>
          <cell r="B1386" t="str">
            <v>Fornecimento E Instalação De Isolador P/ Mastro - Reforçado 1 Descida De 2''</v>
          </cell>
          <cell r="C1386" t="str">
            <v>UN</v>
          </cell>
          <cell r="D1386">
            <v>10.4238</v>
          </cell>
        </row>
        <row r="1387">
          <cell r="A1387" t="str">
            <v>001.25.01340</v>
          </cell>
          <cell r="B1387" t="str">
            <v>Fornecimento E Instalação De Isolador P/ Mastro - Reforçado 2 Descidas De 3/4''</v>
          </cell>
          <cell r="C1387" t="str">
            <v>UN</v>
          </cell>
          <cell r="D1387">
            <v>9.5538000000000007</v>
          </cell>
        </row>
        <row r="1388">
          <cell r="A1388" t="str">
            <v>001.25.01360</v>
          </cell>
          <cell r="B1388" t="str">
            <v>Fornecimento E Instalação De Isolador P/ Mastro - Reforçado 2 Descidas De 1''</v>
          </cell>
          <cell r="C1388" t="str">
            <v>UN</v>
          </cell>
          <cell r="D1388">
            <v>9.5538000000000007</v>
          </cell>
        </row>
        <row r="1389">
          <cell r="A1389" t="str">
            <v>001.25.01380</v>
          </cell>
          <cell r="B1389" t="str">
            <v>Fornecimento E Instalação De Isolador P/ Mastro - Reforçado 2 Descidas De 1. 1/4''</v>
          </cell>
          <cell r="C1389" t="str">
            <v>UN</v>
          </cell>
          <cell r="D1389">
            <v>9.7538</v>
          </cell>
        </row>
        <row r="1390">
          <cell r="A1390" t="str">
            <v>001.25.01400</v>
          </cell>
          <cell r="B1390" t="str">
            <v>Fornecimento E Instalação De Isolador P/ Mastro - Reforçado 2 Descidas De 1. 1/2''</v>
          </cell>
          <cell r="C1390" t="str">
            <v>UN</v>
          </cell>
          <cell r="D1390">
            <v>10.2438</v>
          </cell>
        </row>
        <row r="1391">
          <cell r="A1391" t="str">
            <v>001.25.01420</v>
          </cell>
          <cell r="B1391" t="str">
            <v>Fornecimento E Instalação De Isolador P/ Mastro - Reforçado 2 Descidas De 2''</v>
          </cell>
          <cell r="C1391" t="str">
            <v>UN</v>
          </cell>
          <cell r="D1391">
            <v>10.713800000000001</v>
          </cell>
        </row>
        <row r="1392">
          <cell r="A1392" t="str">
            <v>001.25.01440</v>
          </cell>
          <cell r="B1392" t="str">
            <v>Fornecimento E Instalação De Fixadores P/ Mastro - Base P/ Mastro H De 1. ¹/²''</v>
          </cell>
          <cell r="C1392" t="str">
            <v>UN</v>
          </cell>
          <cell r="D1392">
            <v>34.092100000000002</v>
          </cell>
        </row>
        <row r="1393">
          <cell r="A1393" t="str">
            <v>001.25.01460</v>
          </cell>
          <cell r="B1393" t="str">
            <v>Fornecimento E Instalação De Fixadores P/ Mastro - Base P/ Mastro H De 2''</v>
          </cell>
          <cell r="C1393" t="str">
            <v>UN</v>
          </cell>
          <cell r="D1393">
            <v>34.952100000000002</v>
          </cell>
        </row>
        <row r="1394">
          <cell r="A1394" t="str">
            <v>001.25.01480</v>
          </cell>
          <cell r="B1394" t="str">
            <v>Fornecimento E Instalação De Conectores De Uso Geral - Emenda E Medição P/ Cabo Até Ø50mm² 2P</v>
          </cell>
          <cell r="C1394" t="str">
            <v>UN</v>
          </cell>
          <cell r="D1394">
            <v>9.5503999999999998</v>
          </cell>
        </row>
        <row r="1395">
          <cell r="A1395" t="str">
            <v>001.25.01500</v>
          </cell>
          <cell r="B1395" t="str">
            <v>Fornecimento E Instalação De Conectores De Uso Geral - Emenda E Medição P/ Cabo Até Ø120mm² 2P</v>
          </cell>
          <cell r="C1395" t="str">
            <v>UN</v>
          </cell>
          <cell r="D1395">
            <v>13.900399999999999</v>
          </cell>
        </row>
        <row r="1396">
          <cell r="A1396" t="str">
            <v>001.25.01520</v>
          </cell>
          <cell r="B1396" t="str">
            <v>Fornecimento E Instalação De Conector De Uso Geral - Emenda E Medição P/ Cabo Até  Ø50mm² 4P</v>
          </cell>
          <cell r="C1396" t="str">
            <v>UN</v>
          </cell>
          <cell r="D1396">
            <v>16.790400000000002</v>
          </cell>
        </row>
        <row r="1397">
          <cell r="A1397" t="str">
            <v>001.25.01540</v>
          </cell>
          <cell r="B1397" t="str">
            <v>Fornecimento E Instalação De Conector De Uso Geral - Emenda E Medição P/ Cabo Até Ø 120 Mm² 4P</v>
          </cell>
          <cell r="C1397" t="str">
            <v>UN</v>
          </cell>
          <cell r="D1397">
            <v>23.810400000000001</v>
          </cell>
        </row>
        <row r="1398">
          <cell r="A1398" t="str">
            <v>001.25.01560</v>
          </cell>
          <cell r="B1398" t="str">
            <v>Fornecimento E Instalação De Conector De Uso Geral - Split Bolt P/ Cabo Ø 16mm²</v>
          </cell>
          <cell r="C1398" t="str">
            <v>UN</v>
          </cell>
          <cell r="D1398">
            <v>5.5804</v>
          </cell>
        </row>
        <row r="1399">
          <cell r="A1399" t="str">
            <v>001.25.01580</v>
          </cell>
          <cell r="B1399" t="str">
            <v>Fornecimento E Instalação De Conector De Uso Geral - Split Bolt P/ Cabo Ø 25 Mm²</v>
          </cell>
          <cell r="C1399" t="str">
            <v>UN</v>
          </cell>
          <cell r="D1399">
            <v>5.8704000000000001</v>
          </cell>
        </row>
        <row r="1400">
          <cell r="A1400" t="str">
            <v>001.25.01600</v>
          </cell>
          <cell r="B1400" t="str">
            <v>Fornecimento E Instalação De Conector De Uso Geral - Split Bolt P/ Cabo Ø 35 Mm²</v>
          </cell>
          <cell r="C1400" t="str">
            <v>UN</v>
          </cell>
          <cell r="D1400">
            <v>6.4404000000000003</v>
          </cell>
        </row>
        <row r="1401">
          <cell r="A1401" t="str">
            <v>001.25.01620</v>
          </cell>
          <cell r="B1401" t="str">
            <v>Fornecimento E Instalação De Conector De Uso Gera - Split Bolt P/ Cabo Ø 50 Mm²</v>
          </cell>
          <cell r="C1401" t="str">
            <v>UN</v>
          </cell>
          <cell r="D1401">
            <v>7.3103999999999996</v>
          </cell>
        </row>
        <row r="1402">
          <cell r="A1402" t="str">
            <v>001.25.01640</v>
          </cell>
          <cell r="B1402" t="str">
            <v>Fornecimento E Instalação De Conector De Uso Geral - Split Bolt P/ Cabo Ø 70 Mm²</v>
          </cell>
          <cell r="C1402" t="str">
            <v>UN</v>
          </cell>
          <cell r="D1402">
            <v>9.0404</v>
          </cell>
        </row>
        <row r="1403">
          <cell r="A1403" t="str">
            <v>001.25.01660</v>
          </cell>
          <cell r="B1403" t="str">
            <v>Fornecimento E Instalação De Conector De Uso Geral - Split Bolt P/ Cabo Até Ø 70 Mm²</v>
          </cell>
          <cell r="C1403" t="str">
            <v>UN</v>
          </cell>
          <cell r="D1403">
            <v>11.3504</v>
          </cell>
        </row>
        <row r="1404">
          <cell r="A1404" t="str">
            <v>001.25.01680</v>
          </cell>
          <cell r="B1404" t="str">
            <v>Fornecimento E Instalação De Conector De Uso Geral - Split Bolt C/ Pino E Porca P/ Cabo Ø 16 Mm²</v>
          </cell>
          <cell r="C1404" t="str">
            <v>UN</v>
          </cell>
          <cell r="D1404">
            <v>7.3103999999999996</v>
          </cell>
        </row>
        <row r="1405">
          <cell r="A1405" t="str">
            <v>001.25.01700</v>
          </cell>
          <cell r="B1405" t="str">
            <v>Fornecimento E Instalação De Conector De Uso Geral - Split Bolt C/ Pino E Porca P/ Cabo Ø 25 Mm²</v>
          </cell>
          <cell r="C1405" t="str">
            <v>UN</v>
          </cell>
          <cell r="D1405">
            <v>6.8803999999999998</v>
          </cell>
        </row>
        <row r="1406">
          <cell r="A1406" t="str">
            <v>001.25.01720</v>
          </cell>
          <cell r="B1406" t="str">
            <v>Fornecimento E Instalação De Conector De Uso Geral - Split Bolt C/ Pino E Porca P/ Cabo Ø 35 Mm²</v>
          </cell>
          <cell r="C1406" t="str">
            <v>UN</v>
          </cell>
          <cell r="D1406">
            <v>7.3204000000000002</v>
          </cell>
        </row>
        <row r="1407">
          <cell r="A1407" t="str">
            <v>001.25.01740</v>
          </cell>
          <cell r="B1407" t="str">
            <v>Fornecimento E Instalação De Conector De Uso Geral - Split Bolt C/ Pino E Porca P/ Cabo Ø 50 Mm²</v>
          </cell>
          <cell r="C1407" t="str">
            <v>UN</v>
          </cell>
          <cell r="D1407">
            <v>8.2904</v>
          </cell>
        </row>
        <row r="1408">
          <cell r="A1408" t="str">
            <v>001.25.01760</v>
          </cell>
          <cell r="B1408" t="str">
            <v>Fornecimento E Instalação De Conector De Uso Geral - Split Bolt C/ Pino E Porca P/ Cabo Ø 70 Mm²</v>
          </cell>
          <cell r="C1408" t="str">
            <v>UN</v>
          </cell>
          <cell r="D1408">
            <v>11.4604</v>
          </cell>
        </row>
        <row r="1409">
          <cell r="A1409" t="str">
            <v>001.25.01780</v>
          </cell>
          <cell r="B1409" t="str">
            <v>Fornecimento E Instalação De Conector De Uso Geral - Terminal De Pressão C/ Passagem Frontal P/ Cabo Ø 16 Mm²</v>
          </cell>
          <cell r="C1409" t="str">
            <v>UN</v>
          </cell>
          <cell r="D1409">
            <v>10.480399999999999</v>
          </cell>
        </row>
        <row r="1410">
          <cell r="A1410" t="str">
            <v>001.25.01800</v>
          </cell>
          <cell r="B1410" t="str">
            <v>Fornecimento E Instalação De Conector De Uso Gera - Terminal De Pressão C/ Passagem Frontal P/ Cabo Ø 25 Mm²</v>
          </cell>
          <cell r="C1410" t="str">
            <v>UN</v>
          </cell>
          <cell r="D1410">
            <v>4.8103999999999996</v>
          </cell>
        </row>
        <row r="1411">
          <cell r="A1411" t="str">
            <v>001.25.01820</v>
          </cell>
          <cell r="B1411" t="str">
            <v>Fornecimento E Instalação De Conector De Uso Geral - Terminal De Pressão C/ Passagem Frontal P/ Cabo Ø 35 Mm²</v>
          </cell>
          <cell r="C1411" t="str">
            <v>UN</v>
          </cell>
          <cell r="D1411">
            <v>5.1003999999999996</v>
          </cell>
        </row>
        <row r="1412">
          <cell r="A1412" t="str">
            <v>001.25.01840</v>
          </cell>
          <cell r="B1412" t="str">
            <v>Fornecimento E Instalação De Conector De Uso Geral - Terminal De Pressão C/ Passagem Frontal P/ Cabo Ø 50 Mm²</v>
          </cell>
          <cell r="C1412" t="str">
            <v>UN</v>
          </cell>
          <cell r="D1412">
            <v>5.4804000000000004</v>
          </cell>
        </row>
        <row r="1413">
          <cell r="A1413" t="str">
            <v>001.25.01860</v>
          </cell>
          <cell r="B1413" t="str">
            <v>Fornecimento E Instalação De Conector De Uso Geral - Terminal De Pressão C/ Passagem Frontal P/ Cabo Ø 70 Mm²</v>
          </cell>
          <cell r="C1413" t="str">
            <v>UN</v>
          </cell>
          <cell r="D1413">
            <v>6.1303999999999998</v>
          </cell>
        </row>
        <row r="1414">
          <cell r="A1414" t="str">
            <v>001.25.01880</v>
          </cell>
          <cell r="B1414" t="str">
            <v>Fornecimento E Instalação De Conector De Uso Geral - Terminal De Pressão C/ Passagem Lateral P/ Cabo Ø 16 Mm²</v>
          </cell>
          <cell r="C1414" t="str">
            <v>UN</v>
          </cell>
          <cell r="D1414">
            <v>7.5304000000000002</v>
          </cell>
        </row>
        <row r="1415">
          <cell r="A1415" t="str">
            <v>001.25.01900</v>
          </cell>
          <cell r="B1415" t="str">
            <v>Fornecimento E Instalação De Conector De Uso Geral - Terminal De Pressão C/ Passagem Lateral P/ Cabo Ø 25 Mm²</v>
          </cell>
          <cell r="C1415" t="str">
            <v>UN</v>
          </cell>
          <cell r="D1415">
            <v>7.5304000000000002</v>
          </cell>
        </row>
        <row r="1416">
          <cell r="A1416" t="str">
            <v>001.25.01920</v>
          </cell>
          <cell r="B1416" t="str">
            <v>Fornecimento E Instalação De Conector De Uso Geral - Terminal De Pressão C/ Passagem Lateral P/ Cabo Ø 35 Mm²</v>
          </cell>
          <cell r="C1416" t="str">
            <v>UN</v>
          </cell>
          <cell r="D1416">
            <v>7.5304000000000002</v>
          </cell>
        </row>
        <row r="1417">
          <cell r="A1417" t="str">
            <v>001.25.01940</v>
          </cell>
          <cell r="B1417" t="str">
            <v>Fornecimento E Instalação De Conector De Uso Geral - Terminal De Pressão C/ Passagem Lateral P/ Cabo Ø 50 Mm²</v>
          </cell>
          <cell r="C1417" t="str">
            <v>UN</v>
          </cell>
          <cell r="D1417">
            <v>10.7804</v>
          </cell>
        </row>
        <row r="1418">
          <cell r="A1418" t="str">
            <v>001.25.01960</v>
          </cell>
          <cell r="B1418" t="str">
            <v>Fornecimento E Instalação De Conector De Uso Geral - Terminal De Pressão C/ Passagem Lateral P/ Cabo Ø 70 Mm²</v>
          </cell>
          <cell r="C1418" t="str">
            <v>UN</v>
          </cell>
          <cell r="D1418">
            <v>10.7804</v>
          </cell>
        </row>
        <row r="1419">
          <cell r="A1419" t="str">
            <v>001.25.01980</v>
          </cell>
          <cell r="B1419" t="str">
            <v>Fornecimento E Instalação De Conector De Uso Geral - Tensionador P/ Cabo Cobre Até Ø95 Mm²</v>
          </cell>
          <cell r="C1419" t="str">
            <v>UN</v>
          </cell>
          <cell r="D1419">
            <v>9.3003999999999998</v>
          </cell>
        </row>
        <row r="1420">
          <cell r="A1420" t="str">
            <v>001.25.02000</v>
          </cell>
          <cell r="B1420" t="str">
            <v>Fornecimento E Instalação De Conector De Uso Geral - Terminal De Pressão C/ 4 Parafusos P/ Cabo Ø 16/35 Mm²</v>
          </cell>
          <cell r="C1420" t="str">
            <v>UN</v>
          </cell>
          <cell r="D1420">
            <v>10.480399999999999</v>
          </cell>
        </row>
        <row r="1421">
          <cell r="A1421" t="str">
            <v>001.25.02020</v>
          </cell>
          <cell r="B1421" t="str">
            <v>Fornecimento E Instalação De Conector De Uso Geral - Terminal De Pressão C/ 4 Parafusos P/ Cabo Ø35/70 Mm²</v>
          </cell>
          <cell r="C1421" t="str">
            <v>UN</v>
          </cell>
          <cell r="D1421">
            <v>13.590400000000001</v>
          </cell>
        </row>
        <row r="1422">
          <cell r="A1422" t="str">
            <v>001.25.02040</v>
          </cell>
          <cell r="B1422" t="str">
            <v>Fornecimento E Instalação De Conector De Uso Geral - Terminal Tipo X De Latão P/ Cabo Até Ø50 Mm²</v>
          </cell>
          <cell r="C1422" t="str">
            <v>UN</v>
          </cell>
          <cell r="D1422">
            <v>8.0304000000000002</v>
          </cell>
        </row>
        <row r="1423">
          <cell r="A1423" t="str">
            <v>001.25.02060</v>
          </cell>
          <cell r="B1423" t="str">
            <v>Fornecimento E Instalação De Conector De Uso Geral - Abraçadeira Tipo Ômega P/ Cabo Ø 16 Mm²</v>
          </cell>
          <cell r="C1423" t="str">
            <v>UN</v>
          </cell>
          <cell r="D1423">
            <v>5.9504000000000001</v>
          </cell>
        </row>
        <row r="1424">
          <cell r="A1424" t="str">
            <v>001.25.02080</v>
          </cell>
          <cell r="B1424" t="str">
            <v>Fornecimento E Instalação De Conector De Uso Geral - Abraçadeira Tipo Ômega P/ Cabo Ø35 Mm²</v>
          </cell>
          <cell r="C1424" t="str">
            <v>UN</v>
          </cell>
          <cell r="D1424">
            <v>5.9504000000000001</v>
          </cell>
        </row>
        <row r="1425">
          <cell r="A1425" t="str">
            <v>001.25.02100</v>
          </cell>
          <cell r="B1425" t="str">
            <v>Fornecimento e instalação de componentes de fixação - chapa de fixação tipo unha</v>
          </cell>
          <cell r="C1425" t="str">
            <v>UN</v>
          </cell>
          <cell r="D1425">
            <v>2.9468999999999999</v>
          </cell>
        </row>
        <row r="1426">
          <cell r="A1426" t="str">
            <v>001.25.02120</v>
          </cell>
          <cell r="B1426" t="str">
            <v>Fornecimento E Instalação De Componentes De Fixação - Abraçadeira 3 Estais P/ Mastro De 1. ¹/²''</v>
          </cell>
          <cell r="C1426" t="str">
            <v>UN</v>
          </cell>
          <cell r="D1426">
            <v>5.9368999999999996</v>
          </cell>
        </row>
        <row r="1427">
          <cell r="A1427" t="str">
            <v>001.25.02140</v>
          </cell>
          <cell r="B1427" t="str">
            <v>Fornecimento E Instalação De Componentes De Fixação - Abraçadeira 3 Estais  P/ Mastro 2''</v>
          </cell>
          <cell r="C1427" t="str">
            <v>UN</v>
          </cell>
          <cell r="D1427">
            <v>5.9368999999999996</v>
          </cell>
        </row>
        <row r="1428">
          <cell r="A1428" t="str">
            <v>001.25.02160</v>
          </cell>
          <cell r="B1428" t="str">
            <v>Fornecimento E Instalação De Componentes De Fixação - Abraçadeira 4 Estais P/ Mastro De 1. ¹/²''</v>
          </cell>
          <cell r="C1428" t="str">
            <v>UN</v>
          </cell>
          <cell r="D1428">
            <v>7.1569000000000003</v>
          </cell>
        </row>
        <row r="1429">
          <cell r="A1429" t="str">
            <v>001.25.02180</v>
          </cell>
          <cell r="B1429" t="str">
            <v>Fornecimento E Instalação De Componentes De Fixação - Abraçadeira 4 Estais P/ Mastro De 2''</v>
          </cell>
          <cell r="C1429" t="str">
            <v>UN</v>
          </cell>
          <cell r="D1429">
            <v>7.1569000000000003</v>
          </cell>
        </row>
        <row r="1430">
          <cell r="A1430" t="str">
            <v>001.25.02200</v>
          </cell>
          <cell r="B1430" t="str">
            <v>Fornecimento E Instalação De Componentes De Fixação - Fixador De Estais P/ Tubo</v>
          </cell>
          <cell r="C1430" t="str">
            <v>UN</v>
          </cell>
          <cell r="D1430">
            <v>3.6669</v>
          </cell>
        </row>
        <row r="1431">
          <cell r="A1431" t="str">
            <v>001.25.02220</v>
          </cell>
          <cell r="B1431" t="str">
            <v>Fornecimento E Instalação De Componentes De Fixação - Fixador De Estais P/ Cabo</v>
          </cell>
          <cell r="C1431" t="str">
            <v>UN</v>
          </cell>
          <cell r="D1431">
            <v>3.1869000000000001</v>
          </cell>
        </row>
        <row r="1432">
          <cell r="A1432" t="str">
            <v>001.25.02240</v>
          </cell>
          <cell r="B1432" t="str">
            <v>Fornecimento E Instalação De Componentes De Fixação - Manilha De 1/4''</v>
          </cell>
          <cell r="C1432" t="str">
            <v>UN</v>
          </cell>
          <cell r="D1432">
            <v>9.4568999999999992</v>
          </cell>
        </row>
        <row r="1433">
          <cell r="A1433" t="str">
            <v>001.25.02260</v>
          </cell>
          <cell r="B1433" t="str">
            <v>Fornecimento E Instalação De Componentes De Fixação - Esticador P/ Cabo De Aço De 3/16''</v>
          </cell>
          <cell r="C1433" t="str">
            <v>UN</v>
          </cell>
          <cell r="D1433">
            <v>7.6669</v>
          </cell>
        </row>
        <row r="1434">
          <cell r="A1434" t="str">
            <v>001.25.02280</v>
          </cell>
          <cell r="B1434" t="str">
            <v>Fornecimento E Instalação De Componentes De Fixação - Esticador P/ Cabo De Aço De 1/4''</v>
          </cell>
          <cell r="C1434" t="str">
            <v>UN</v>
          </cell>
          <cell r="D1434">
            <v>8.8668999999999993</v>
          </cell>
        </row>
        <row r="1435">
          <cell r="A1435" t="str">
            <v>001.25.02300</v>
          </cell>
          <cell r="B1435" t="str">
            <v>Fornecimento E Instalação De Componentes De Fixação - Sapatilha De 3/16''</v>
          </cell>
          <cell r="C1435" t="str">
            <v>UN</v>
          </cell>
          <cell r="D1435">
            <v>3.0869</v>
          </cell>
        </row>
        <row r="1436">
          <cell r="A1436" t="str">
            <v>001.25.02320</v>
          </cell>
          <cell r="B1436" t="str">
            <v>Fornecimento E Instalação De Componentes De Fixação - Sapatilha De 1/4''</v>
          </cell>
          <cell r="C1436" t="str">
            <v>UN</v>
          </cell>
          <cell r="D1436">
            <v>3.4169</v>
          </cell>
        </row>
        <row r="1437">
          <cell r="A1437" t="str">
            <v>001.25.02340</v>
          </cell>
          <cell r="B1437" t="str">
            <v>Fornecimeto E Instalação De Componentes De Fixação - Grampo Crosby De 3/16''</v>
          </cell>
          <cell r="C1437" t="str">
            <v>UN</v>
          </cell>
          <cell r="D1437">
            <v>3.0369000000000002</v>
          </cell>
        </row>
        <row r="1438">
          <cell r="A1438" t="str">
            <v>001.25.02360</v>
          </cell>
          <cell r="B1438" t="str">
            <v>Fornecimento E Instalação De Componentes De Fixação - Grampo Crosby De 1/4''</v>
          </cell>
          <cell r="C1438" t="str">
            <v>UN</v>
          </cell>
          <cell r="D1438">
            <v>3.0869</v>
          </cell>
        </row>
        <row r="1439">
          <cell r="A1439" t="str">
            <v>001.25.02380</v>
          </cell>
          <cell r="B1439" t="str">
            <v>Fornecimento E Instalação De Componentes De Fixação - Abraçadeira Tipo """"""""D"""""""" C/ Cunha De 3/4''</v>
          </cell>
          <cell r="C1439" t="str">
            <v>UN</v>
          </cell>
          <cell r="D1439">
            <v>2.6869000000000001</v>
          </cell>
        </row>
        <row r="1440">
          <cell r="A1440" t="str">
            <v>001.25.02400</v>
          </cell>
          <cell r="B1440" t="str">
            <v>Fornecimento  Instalação De Componentes De Fixação - Abraçadeira Tipo """"""""D"""""""" C/ Cunha De 1''</v>
          </cell>
          <cell r="C1440" t="str">
            <v>UN</v>
          </cell>
          <cell r="D1440">
            <v>2.8569</v>
          </cell>
        </row>
        <row r="1441">
          <cell r="A1441" t="str">
            <v>001.25.02420</v>
          </cell>
          <cell r="B1441" t="str">
            <v>Fornecimento E Instalação De Componentes De Fixação - Abraçadeira Tipo """"""""D"""""""" C/ Cunha De 1.¹/4''</v>
          </cell>
          <cell r="C1441" t="str">
            <v>UN</v>
          </cell>
          <cell r="D1441">
            <v>3.5068999999999999</v>
          </cell>
        </row>
        <row r="1442">
          <cell r="A1442" t="str">
            <v>001.25.02440</v>
          </cell>
          <cell r="B1442" t="str">
            <v>Fornecimento E Instalação De Componentes De Fixação - Abraçadeira Tipo """"""""D"""""""" C/ Cunha De 1.¹/²''</v>
          </cell>
          <cell r="C1442" t="str">
            <v>UN</v>
          </cell>
          <cell r="D1442">
            <v>3.5068999999999999</v>
          </cell>
        </row>
        <row r="1443">
          <cell r="A1443" t="str">
            <v>001.25.02460</v>
          </cell>
          <cell r="B1443" t="str">
            <v>Fornecimento E Instalação De Componentes De Fixação - Abraçadeira Tipo """"""""D"""""""" C/ Cunha De 2''</v>
          </cell>
          <cell r="C1443" t="str">
            <v>UN</v>
          </cell>
          <cell r="D1443">
            <v>3.8069000000000002</v>
          </cell>
        </row>
        <row r="1444">
          <cell r="A1444" t="str">
            <v>001.25.02480</v>
          </cell>
          <cell r="B1444" t="str">
            <v>Fornecimento E Instalação De Componentes De Fixação - Parafuso Sextavado C/ Bucha De Pvc Rosca Sob. 1/4'' X 1. ¹/²'' DZ</v>
          </cell>
          <cell r="C1444" t="str">
            <v>CT</v>
          </cell>
          <cell r="D1444">
            <v>2.1768999999999998</v>
          </cell>
        </row>
        <row r="1445">
          <cell r="A1445" t="str">
            <v>001.25.02500</v>
          </cell>
          <cell r="B1445" t="str">
            <v>Fornecimento E Instalação De Componentes De Fixação - Parafuso Sextavado C/ Bucha De Pvc Rosca Sob. 5/16'' X 1. ¹/²''DZ</v>
          </cell>
          <cell r="C1445" t="str">
            <v>CT</v>
          </cell>
          <cell r="D1445">
            <v>2.3069000000000002</v>
          </cell>
        </row>
        <row r="1446">
          <cell r="A1446" t="str">
            <v>001.25.02520</v>
          </cell>
          <cell r="B1446" t="str">
            <v>Fornecimento E Instalação De Componentes De Fixação - Parafuso Sextavado C/ Bucha De Pvc Rosca Sob. 5/16'' X 2'' DZ</v>
          </cell>
          <cell r="C1446" t="str">
            <v>CT</v>
          </cell>
          <cell r="D1446">
            <v>2.3469000000000002</v>
          </cell>
        </row>
        <row r="1447">
          <cell r="A1447" t="str">
            <v>001.25.02540</v>
          </cell>
          <cell r="B1447" t="str">
            <v>Fornecimento E Instalação De Conj. De Contraventegem Com Cabo P/ Mastro 1. ¹/²''</v>
          </cell>
          <cell r="C1447" t="str">
            <v>CJ</v>
          </cell>
          <cell r="D1447">
            <v>109.16679999999999</v>
          </cell>
        </row>
        <row r="1448">
          <cell r="A1448" t="str">
            <v>001.25.02560</v>
          </cell>
          <cell r="B1448" t="str">
            <v>Fornecimento E Instalação De Conj. De Contraventagem Com Cabo P/ Mastro 2''</v>
          </cell>
          <cell r="C1448" t="str">
            <v>CJ</v>
          </cell>
          <cell r="D1448">
            <v>109.38679999999999</v>
          </cell>
        </row>
        <row r="1449">
          <cell r="A1449" t="str">
            <v>001.25.02580</v>
          </cell>
          <cell r="B1449" t="str">
            <v>Fornecimento E Instalação De Componentes P/ Aterramento - Conector Cabo/Haste Tipo Olhal Reforçado 3/4''</v>
          </cell>
          <cell r="C1449" t="str">
            <v>UN</v>
          </cell>
          <cell r="D1449">
            <v>5.9352</v>
          </cell>
        </row>
        <row r="1450">
          <cell r="A1450" t="str">
            <v>001.25.02600</v>
          </cell>
          <cell r="B1450" t="str">
            <v>Fornecimento E Instalação De Componentes P/ Aterramento - Conector Cabo/Haste Tipo Olhal Reforçado 5/8''</v>
          </cell>
          <cell r="C1450" t="str">
            <v>UN</v>
          </cell>
          <cell r="D1450">
            <v>4.6852</v>
          </cell>
        </row>
        <row r="1451">
          <cell r="A1451" t="str">
            <v>001.25.02620</v>
          </cell>
          <cell r="B1451" t="str">
            <v>Fornecimento E Instalação De Componentes P/ Aterramento Cabo/Haste Tipo Olhal Leve 5/8''</v>
          </cell>
          <cell r="C1451" t="str">
            <v>UN</v>
          </cell>
          <cell r="D1451">
            <v>8.3252000000000006</v>
          </cell>
        </row>
        <row r="1452">
          <cell r="A1452" t="str">
            <v>001.25.02640</v>
          </cell>
          <cell r="B1452" t="str">
            <v>Fornecimento E Instalação De Componentes P/ Aterramento - Luva De Emenda P/ Haste De 5/8''</v>
          </cell>
          <cell r="C1452" t="str">
            <v>UN</v>
          </cell>
          <cell r="D1452">
            <v>7.7652000000000001</v>
          </cell>
        </row>
        <row r="1453">
          <cell r="A1453" t="str">
            <v>001.25.02660</v>
          </cell>
          <cell r="B1453" t="str">
            <v>Fornecimento E Instalação De Componentes P/ Aterramento - Luva De Emenda P/ Haste De 3/4''</v>
          </cell>
          <cell r="C1453" t="str">
            <v>UN</v>
          </cell>
          <cell r="D1453">
            <v>7.7652000000000001</v>
          </cell>
        </row>
        <row r="1454">
          <cell r="A1454" t="str">
            <v>001.25.02680</v>
          </cell>
          <cell r="B1454" t="str">
            <v>Fornecimento e Instalação de Componentes  p/ Aterramento - Conector Cabo/Haste Tipo Grampo</v>
          </cell>
          <cell r="C1454" t="str">
            <v>UN</v>
          </cell>
          <cell r="D1454">
            <v>4.6852</v>
          </cell>
        </row>
        <row r="1455">
          <cell r="A1455" t="str">
            <v>001.25.02700</v>
          </cell>
          <cell r="B1455" t="str">
            <v>Fornecimento E Inwstalação De Componentes P/ Aterramento - Haste Aterramento AC De 5/8'' X 2,40m</v>
          </cell>
          <cell r="C1455" t="str">
            <v>UN</v>
          </cell>
          <cell r="D1455">
            <v>32.5974</v>
          </cell>
        </row>
        <row r="1456">
          <cell r="A1456" t="str">
            <v>001.25.02720</v>
          </cell>
          <cell r="B1456" t="str">
            <v>Fornecimento E Instalação De Componentes P/ Aterramento - Haste Aterramento  AC De 5/8'' X 3,00 M</v>
          </cell>
          <cell r="C1456" t="str">
            <v>UN</v>
          </cell>
          <cell r="D1456">
            <v>38.997399999999999</v>
          </cell>
        </row>
        <row r="1457">
          <cell r="A1457" t="str">
            <v>001.25.02740</v>
          </cell>
          <cell r="B1457" t="str">
            <v>Fornecimento E Instalação De Componentes P/ Aterramento - Haste Aterramento AC De 3/4'' X 2,40 M</v>
          </cell>
          <cell r="C1457" t="str">
            <v>UN</v>
          </cell>
          <cell r="D1457">
            <v>43.477400000000003</v>
          </cell>
        </row>
        <row r="1458">
          <cell r="A1458" t="str">
            <v>001.25.02760</v>
          </cell>
          <cell r="B1458" t="str">
            <v>Fornecimento E Instalação De Componentes P/ Aterramento - Haste Aterramento AC De 3/4'' X 300 M</v>
          </cell>
          <cell r="C1458" t="str">
            <v>UN</v>
          </cell>
          <cell r="D1458">
            <v>52.967399999999998</v>
          </cell>
        </row>
        <row r="1459">
          <cell r="A1459" t="str">
            <v>001.25.02780</v>
          </cell>
          <cell r="B1459" t="str">
            <v>Forecimento E Instalação De Componentes P/ Aterramento - Haste Aterramento BC De 5/8'' X 2,40 M</v>
          </cell>
          <cell r="C1459" t="str">
            <v>UN</v>
          </cell>
          <cell r="D1459">
            <v>20.2774</v>
          </cell>
        </row>
        <row r="1460">
          <cell r="A1460" t="str">
            <v>001.25.02800</v>
          </cell>
          <cell r="B1460" t="str">
            <v>Fornecimento E Instalação De Componentes P/ Aterramento - Haste Aterramento BC De 5/8'' X 3,00 M</v>
          </cell>
          <cell r="C1460" t="str">
            <v>UN</v>
          </cell>
          <cell r="D1460">
            <v>29.6374</v>
          </cell>
        </row>
        <row r="1461">
          <cell r="A1461" t="str">
            <v>001.25.02820</v>
          </cell>
          <cell r="B1461" t="str">
            <v>Fornecimento E Instalação De Componentes P/ Aterramento - Haste Aterramento BC De 3/4'' X 2,40 M</v>
          </cell>
          <cell r="C1461" t="str">
            <v>UN</v>
          </cell>
          <cell r="D1461">
            <v>36.717399999999998</v>
          </cell>
        </row>
        <row r="1462">
          <cell r="A1462" t="str">
            <v>001.25.02840</v>
          </cell>
          <cell r="B1462" t="str">
            <v>Fornecimento E Instalação De Componentes P/ Aterramento - Haste Aterramento BC De 3/4'' X 3,00 M</v>
          </cell>
          <cell r="C1462" t="str">
            <v>UN</v>
          </cell>
          <cell r="D1462">
            <v>39.967399999999998</v>
          </cell>
        </row>
        <row r="1463">
          <cell r="A1463" t="str">
            <v>001.25.02860</v>
          </cell>
          <cell r="B1463" t="str">
            <v>Fornecimento E Instalação De Sinalizadores - Aparelhos Sinalizadores Simples S/ Célula</v>
          </cell>
          <cell r="C1463" t="str">
            <v>UN</v>
          </cell>
          <cell r="D1463">
            <v>22.057400000000001</v>
          </cell>
        </row>
        <row r="1464">
          <cell r="A1464" t="str">
            <v>001.25.02880</v>
          </cell>
          <cell r="B1464" t="str">
            <v>Fornecimento E Instalação De Sinalizadores - Aparelhos Sinalizadores Simples C/ Célula</v>
          </cell>
          <cell r="C1464" t="str">
            <v>UN</v>
          </cell>
          <cell r="D1464">
            <v>35.917400000000001</v>
          </cell>
        </row>
        <row r="1465">
          <cell r="A1465" t="str">
            <v>001.25.02900</v>
          </cell>
          <cell r="B1465" t="str">
            <v>Fornecimento E Instalação De Sinalizadores - Aparelhos Sinalizadores Duplo S/ Célula</v>
          </cell>
          <cell r="C1465" t="str">
            <v>UN</v>
          </cell>
          <cell r="D1465">
            <v>41.267400000000002</v>
          </cell>
        </row>
        <row r="1466">
          <cell r="A1466" t="str">
            <v>001.25.02920</v>
          </cell>
          <cell r="B1466" t="str">
            <v>Fornecimento E Instalação De Sinalizadores - Aparelhos Sinalizadores Duplo C/ Célula</v>
          </cell>
          <cell r="C1466" t="str">
            <v>UN</v>
          </cell>
          <cell r="D1466">
            <v>74.917400000000001</v>
          </cell>
        </row>
        <row r="1467">
          <cell r="A1467" t="str">
            <v>001.25.02940</v>
          </cell>
          <cell r="B1467" t="str">
            <v>Fornecimento E Instalação De Abraçadeira P/ Sinalizador De 1. ¹/²''</v>
          </cell>
          <cell r="C1467" t="str">
            <v>UN</v>
          </cell>
          <cell r="D1467">
            <v>5.4969000000000001</v>
          </cell>
        </row>
        <row r="1468">
          <cell r="A1468" t="str">
            <v>001.25.02960</v>
          </cell>
          <cell r="B1468" t="str">
            <v>Fornecimento E Instalação De Abraçadeira P/ Sinalizador De 2''</v>
          </cell>
          <cell r="C1468" t="str">
            <v>UN</v>
          </cell>
          <cell r="D1468">
            <v>5.6368999999999998</v>
          </cell>
        </row>
        <row r="1469">
          <cell r="A1469" t="str">
            <v>001.26</v>
          </cell>
          <cell r="B1469" t="str">
            <v>INSTALAÇÕES ELÉTRICAS - EQUIPAMENTOS</v>
          </cell>
        </row>
        <row r="1470">
          <cell r="A1470" t="str">
            <v>001.26.00020</v>
          </cell>
          <cell r="B1470" t="str">
            <v>Conjunto motor bomba centrífuga trifásica 50 a 60 hz para sucção até 6m pot. 1/2 hp</v>
          </cell>
          <cell r="C1470" t="str">
            <v>CJ</v>
          </cell>
          <cell r="D1470">
            <v>288.88220000000001</v>
          </cell>
        </row>
        <row r="1471">
          <cell r="A1471" t="str">
            <v>001.26.00040</v>
          </cell>
          <cell r="B1471" t="str">
            <v>Conjunto motor bomba centrífuga trifásica 50 a 60 hz para sucção até 6m pot. 3/4 hp</v>
          </cell>
          <cell r="C1471" t="str">
            <v>CJ</v>
          </cell>
          <cell r="D1471">
            <v>299.88220000000001</v>
          </cell>
        </row>
        <row r="1472">
          <cell r="A1472" t="str">
            <v>001.26.00060</v>
          </cell>
          <cell r="B1472" t="str">
            <v>Conjunto motor bomba centrífuga trifásica 50 a 60 hz para sucção até 6m pot. 1 hp</v>
          </cell>
          <cell r="C1472" t="str">
            <v>CJ</v>
          </cell>
          <cell r="D1472">
            <v>389.8032</v>
          </cell>
        </row>
        <row r="1473">
          <cell r="A1473" t="str">
            <v>001.26.00080</v>
          </cell>
          <cell r="B1473" t="str">
            <v>Conjunto motor bomba centrífuga trifásica 50 a 60 hz para sucção até 6m pot. 1 1/2"""""""""""""""""""""""""""""""" hp</v>
          </cell>
          <cell r="C1473" t="str">
            <v>CJ</v>
          </cell>
          <cell r="D1473">
            <v>466.8032</v>
          </cell>
        </row>
        <row r="1474">
          <cell r="A1474" t="str">
            <v>001.26.00100</v>
          </cell>
          <cell r="B1474" t="str">
            <v>Conjunto motor bomba centrífuga trifásica 50 a 60 hz para sucção até 6m pot. 2"""""""""""""""""""""""""""""""" hp</v>
          </cell>
          <cell r="C1474" t="str">
            <v>CJ</v>
          </cell>
          <cell r="D1474">
            <v>499.7242</v>
          </cell>
        </row>
        <row r="1475">
          <cell r="A1475" t="str">
            <v>001.26.00120</v>
          </cell>
          <cell r="B1475" t="str">
            <v>Conjunto motor bomba centrifuga monoestagio com bocais flangeados - cf-7 mark ou similar - 03 cv</v>
          </cell>
          <cell r="C1475" t="str">
            <v>UN</v>
          </cell>
          <cell r="D1475">
            <v>276.7242</v>
          </cell>
        </row>
        <row r="1476">
          <cell r="A1476" t="str">
            <v>001.26.00140</v>
          </cell>
          <cell r="B1476" t="str">
            <v>Fornecimento e Instalação de Ar Condicionado Tipo Split 9 000 BTUS, Linha Tempstar ou Mesmo Padrão</v>
          </cell>
          <cell r="C1476" t="str">
            <v>CJ</v>
          </cell>
          <cell r="D1476">
            <v>2150</v>
          </cell>
        </row>
        <row r="1477">
          <cell r="A1477" t="str">
            <v>001.26.00160</v>
          </cell>
          <cell r="B1477" t="str">
            <v>Fornecimento e Instalação de Ar Condicionado Tipo Split 12 000 BTUS, Linha Tempstar ou Mesmo Padrão</v>
          </cell>
          <cell r="C1477" t="str">
            <v>CJ</v>
          </cell>
          <cell r="D1477">
            <v>2520</v>
          </cell>
        </row>
        <row r="1478">
          <cell r="A1478" t="str">
            <v>001.26.00180</v>
          </cell>
          <cell r="B1478" t="str">
            <v>Fornecimento e Instalação de Ar Condicionado Tipo Split 18 000 BTUS, Linha Tempstar ou Mesmo Padrão</v>
          </cell>
          <cell r="C1478" t="str">
            <v>CJ</v>
          </cell>
          <cell r="D1478">
            <v>2960</v>
          </cell>
        </row>
        <row r="1479">
          <cell r="A1479" t="str">
            <v>001.26.00200</v>
          </cell>
          <cell r="B1479" t="str">
            <v>Fornecimento e Instalação de Ar Condicionado Tipo Split 22 000 BTUS, Linha Tempstar ou Mesmo Padrão</v>
          </cell>
          <cell r="C1479" t="str">
            <v>CJ</v>
          </cell>
          <cell r="D1479">
            <v>4090</v>
          </cell>
        </row>
        <row r="1480">
          <cell r="A1480" t="str">
            <v>001.26.00220</v>
          </cell>
          <cell r="B1480" t="str">
            <v>Fornecimento e Instalação de Ar Condicionado Tipo Split 36 000 BTUS, Linha Tempstar ou Mesmo Padrão</v>
          </cell>
          <cell r="C1480" t="str">
            <v>CJ</v>
          </cell>
          <cell r="D1480">
            <v>5960</v>
          </cell>
        </row>
        <row r="1481">
          <cell r="A1481" t="str">
            <v>001.26.00240</v>
          </cell>
          <cell r="B1481" t="str">
            <v>Fornecimento e Instalação de Ar Condicionado Tipo Split 48 000 BTUS, Linha Tempstar ou Mesmo Padrão</v>
          </cell>
          <cell r="C1481" t="str">
            <v>CJ</v>
          </cell>
          <cell r="D1481">
            <v>7000</v>
          </cell>
        </row>
        <row r="1482">
          <cell r="A1482" t="str">
            <v>001.26.00260</v>
          </cell>
          <cell r="B1482" t="str">
            <v>Fornecimento e Instalação de Ar Condicionado Tipo Split 60 000 BTUS, Linha Tempstar ou Mesmo Padrão</v>
          </cell>
          <cell r="C1482" t="str">
            <v>CJ</v>
          </cell>
          <cell r="D1482">
            <v>7630</v>
          </cell>
        </row>
        <row r="1483">
          <cell r="A1483" t="str">
            <v>001.26.00280</v>
          </cell>
          <cell r="B1483" t="str">
            <v>Fornecimento e Instalação de Ar Condicionado Tipo Split 7 000 BTUS, Linha Silence ou Mesmo Padrão</v>
          </cell>
          <cell r="C1483" t="str">
            <v>CJ</v>
          </cell>
          <cell r="D1483">
            <v>2205</v>
          </cell>
        </row>
        <row r="1484">
          <cell r="A1484" t="str">
            <v>001.26.00300</v>
          </cell>
          <cell r="B1484" t="str">
            <v>Fornecimento e Instalação de Ar Condicionado Tipo Split 9 000 BTUS, Linha Silence ou Mesmo Padrão</v>
          </cell>
          <cell r="C1484" t="str">
            <v>CJ</v>
          </cell>
          <cell r="D1484">
            <v>2510</v>
          </cell>
        </row>
        <row r="1485">
          <cell r="A1485" t="str">
            <v>001.26.00320</v>
          </cell>
          <cell r="B1485" t="str">
            <v>Fornecimento e Instalação de Ar Condicionado Tipo Split 12 000 BTUS, Linha Silence ou Mesmo Padrão</v>
          </cell>
          <cell r="C1485" t="str">
            <v>CJ</v>
          </cell>
          <cell r="D1485">
            <v>2980</v>
          </cell>
        </row>
        <row r="1486">
          <cell r="A1486" t="str">
            <v>001.26.00340</v>
          </cell>
          <cell r="B1486" t="str">
            <v>Fornecimento e Instalação de Ar Condicionado Tipo Split 18 000 BTUS, Linha Silence ou Mesmo Padrão</v>
          </cell>
          <cell r="C1486" t="str">
            <v>CJ</v>
          </cell>
          <cell r="D1486">
            <v>4000</v>
          </cell>
        </row>
        <row r="1487">
          <cell r="A1487" t="str">
            <v>001.26.00360</v>
          </cell>
          <cell r="B1487" t="str">
            <v>Fornecimento e Instalação de Ar Condicionado Tipo Split 24 000 BTUS, Linha Silence ou Mesmo Padrão</v>
          </cell>
          <cell r="C1487" t="str">
            <v>CJ</v>
          </cell>
          <cell r="D1487">
            <v>4420</v>
          </cell>
        </row>
        <row r="1488">
          <cell r="A1488" t="str">
            <v>001.26.00380</v>
          </cell>
          <cell r="B1488" t="str">
            <v>Fornecimento e Instalação de Ar Condicionado Tipo Split 36 000 BTUS, Linha Modernitá ou Mesmo Padrão</v>
          </cell>
          <cell r="C1488" t="str">
            <v>CJ</v>
          </cell>
          <cell r="D1488">
            <v>6250</v>
          </cell>
        </row>
        <row r="1489">
          <cell r="A1489" t="str">
            <v>001.26.00400</v>
          </cell>
          <cell r="B1489" t="str">
            <v>Fornecimento e Instalação de Ar Condicionado Tipo Split 48 000 BTUS, Linha Silence ou Mesmo Padrão</v>
          </cell>
          <cell r="C1489" t="str">
            <v>CJ</v>
          </cell>
          <cell r="D1489">
            <v>8000</v>
          </cell>
        </row>
        <row r="1490">
          <cell r="A1490" t="str">
            <v>001.26.00420</v>
          </cell>
          <cell r="B1490" t="str">
            <v>Fornecimento e Instalação de Ar Condicionado Tipo Split 60 000 BTUS, Linha Silence ou Mesmo Padrão</v>
          </cell>
          <cell r="C1490" t="str">
            <v>CJ</v>
          </cell>
          <cell r="D1490">
            <v>8700</v>
          </cell>
        </row>
        <row r="1491">
          <cell r="A1491" t="str">
            <v>001.26.00440</v>
          </cell>
          <cell r="B1491" t="str">
            <v>Fornecimento e Instalação de Rede Figorígena (Tubo de Cobre 3/8"""""""" e 1/4""""""""; Cabo PP 4x1.50; Isolante Térmico em Espuma Para Tubulação 5/8"""""""" e Fita Aluminizada) Para Aparelho Ar Cond. Split até 10.000 BTU'S</v>
          </cell>
          <cell r="C1491" t="str">
            <v>ML</v>
          </cell>
          <cell r="D1491">
            <v>30.807600000000001</v>
          </cell>
        </row>
        <row r="1492">
          <cell r="A1492" t="str">
            <v>001.26.00460</v>
          </cell>
          <cell r="B1492" t="str">
            <v>Fornecimento e Instalação de Rede Figorígena (Tubo de Cobre 1/2"""""""" e 1/4""""""""; Cabo PP 4x1.50; Isolante Térmico em Espuma Para Tubulação 3/4"""""""" e Fita Aluminizada) Para Aparelho Ar Cond. Split de 12.000 BTU'S</v>
          </cell>
          <cell r="C1492" t="str">
            <v>ML</v>
          </cell>
          <cell r="D1492">
            <v>31.777799999999999</v>
          </cell>
        </row>
        <row r="1493">
          <cell r="A1493" t="str">
            <v>001.26.00480</v>
          </cell>
          <cell r="B1493" t="str">
            <v>Fornecimento e Instalação de Rede Figorígena (Tubo de Cobre 3/8"""""""" e 5/8""""""""; Cabo PP 4x1.50; Isolante Térmico em Espuma Para Tubulação 7/8"""""""" e Fita Aluminizada) Para Aparelho Ar Cond. Split de 24.000 BTU'S</v>
          </cell>
          <cell r="C1493" t="str">
            <v>ML</v>
          </cell>
          <cell r="D1493">
            <v>38.6693</v>
          </cell>
        </row>
        <row r="1494">
          <cell r="A1494" t="str">
            <v>001.26.00500</v>
          </cell>
          <cell r="B1494" t="str">
            <v>Fornecimento e Instalação de Rede Figorígena (Tubo de Cobre 1/2"""""""" e 7/8""""""""; Cabo PP 4x1.50; Isolante Térmico em Espuma Para Tubulação 1"""""""" e Fita Aluminizada) Para Aparelho Ar Cond. Split de 48.000 BTU'S</v>
          </cell>
          <cell r="C1494" t="str">
            <v>ML</v>
          </cell>
          <cell r="D1494">
            <v>42.8322</v>
          </cell>
        </row>
        <row r="1495">
          <cell r="A1495" t="str">
            <v>001.26.00520</v>
          </cell>
          <cell r="B1495" t="str">
            <v>Fornecimento e Instalação de Rede Figorígena (Tubo de Cobre 1/2"""""""" e 7/8""""""""; Cabo PP 4x1.50; Isolante Térmico em Espuma Para Tubulação 1"""""""" e Fita Aluminizada) Para Aparelho Ar Cond. Split de 60.000 BTU'S</v>
          </cell>
          <cell r="C1495" t="str">
            <v>ML</v>
          </cell>
          <cell r="D1495">
            <v>42.8322</v>
          </cell>
        </row>
        <row r="1496">
          <cell r="A1496" t="str">
            <v>001.27</v>
          </cell>
          <cell r="B1496" t="str">
            <v>INSTALAÇÕES ELÉTRICAS - CAIXAS DE INSPEÇÃO E PASSAGEM</v>
          </cell>
        </row>
        <row r="1497">
          <cell r="A1497" t="str">
            <v>001.27.00020</v>
          </cell>
          <cell r="B1497" t="str">
            <v>Execução de caixa de passagem de concreto de 5 cm espessura e tampa de concreto impermeabilizada de 30.00 x 30.00 x 30.00 cm</v>
          </cell>
          <cell r="C1497" t="str">
            <v>CJ</v>
          </cell>
          <cell r="D1497">
            <v>29.437000000000001</v>
          </cell>
        </row>
        <row r="1498">
          <cell r="A1498" t="str">
            <v>001.27.00040</v>
          </cell>
          <cell r="B1498" t="str">
            <v>Execução de caixa de passagem de concreto de 5 cm espessura e tampa de concreto impermeabilizada de 30.00 x 30.00 x 40.00 cm</v>
          </cell>
          <cell r="C1498" t="str">
            <v>CJ</v>
          </cell>
          <cell r="D1498">
            <v>33.503799999999998</v>
          </cell>
        </row>
        <row r="1499">
          <cell r="A1499" t="str">
            <v>001.27.00060</v>
          </cell>
          <cell r="B1499" t="str">
            <v>Execução de caixa de passagem de concreto de 5 cm espessura e tampa de concreto impermeabilizada de 40.00 x 40.00 x 40.00 cm</v>
          </cell>
          <cell r="C1499" t="str">
            <v>CJ</v>
          </cell>
          <cell r="D1499">
            <v>49.586199999999998</v>
          </cell>
        </row>
        <row r="1500">
          <cell r="A1500" t="str">
            <v>001.27.00080</v>
          </cell>
          <cell r="B1500" t="str">
            <v>Execução de caixa de passagem de concreto de 5 cm espessura e tampa de concreto impermeabilizada de 40.00 x 40.00 x 50.00 cm</v>
          </cell>
          <cell r="C1500" t="str">
            <v>CJ</v>
          </cell>
          <cell r="D1500">
            <v>56.5075</v>
          </cell>
        </row>
        <row r="1501">
          <cell r="A1501" t="str">
            <v>001.27.00100</v>
          </cell>
          <cell r="B1501" t="str">
            <v>Execução de caixa de passagem de concreto de 5 cm espessura e tampa de concreto impermeabilizada de 50.00 x 50.00 x 50.00 cm</v>
          </cell>
          <cell r="C1501" t="str">
            <v>CJ</v>
          </cell>
          <cell r="D1501">
            <v>74.833799999999997</v>
          </cell>
        </row>
        <row r="1502">
          <cell r="A1502" t="str">
            <v>001.27.00120</v>
          </cell>
          <cell r="B1502" t="str">
            <v>Execução de caixa de passagem de concreto de 5 cm espessura e tampa de concreto impermeabilizada de 50.00 x 50.00 x 60.00 cm</v>
          </cell>
          <cell r="C1502" t="str">
            <v>CJ</v>
          </cell>
          <cell r="D1502">
            <v>83.626800000000003</v>
          </cell>
        </row>
        <row r="1503">
          <cell r="A1503" t="str">
            <v>001.27.00140</v>
          </cell>
          <cell r="B1503" t="str">
            <v>Execução de caixa de passagem de concreto de 5 cm espessura e tampa de concreto impermeabilizada de 60.00 x 60.00 x 60.00 cm</v>
          </cell>
          <cell r="C1503" t="str">
            <v>CJ</v>
          </cell>
          <cell r="D1503">
            <v>105.94499999999999</v>
          </cell>
        </row>
        <row r="1504">
          <cell r="A1504" t="str">
            <v>001.27.00160</v>
          </cell>
          <cell r="B1504" t="str">
            <v>Execução de caixa de passagem de concreto de 5 cm espessura e tampa de concreto impermeabilizada de 80.00 x 80.00 x 80.00 cm</v>
          </cell>
          <cell r="C1504" t="str">
            <v>CJ</v>
          </cell>
          <cell r="D1504">
            <v>185.191</v>
          </cell>
        </row>
        <row r="1505">
          <cell r="A1505" t="str">
            <v>001.27.00180</v>
          </cell>
          <cell r="B1505" t="str">
            <v>Execução de caixa de passagem de concreto de 5 cm espessura e tampa de concreto impermeabilizada de 80.00 x 80.00 x 100.00 cm</v>
          </cell>
          <cell r="C1505" t="str">
            <v>CJ</v>
          </cell>
          <cell r="D1505">
            <v>214.8946</v>
          </cell>
        </row>
        <row r="1506">
          <cell r="A1506" t="str">
            <v>001.27.00200</v>
          </cell>
          <cell r="B1506" t="str">
            <v>Execução de caixa de passagem de alvenaria de 1/2 vez c/ tampa de concreto impermeabilizada 30.00 x 30.00 x 30.00 cm</v>
          </cell>
          <cell r="C1506" t="str">
            <v>CJ</v>
          </cell>
          <cell r="D1506">
            <v>42.7376</v>
          </cell>
        </row>
        <row r="1507">
          <cell r="A1507" t="str">
            <v>001.27.00220</v>
          </cell>
          <cell r="B1507" t="str">
            <v>Execução de caixa de passagem de alvenaria de 1/2 vez c/ tampa de concreto impermeabilizada 30.00 x 30.00 x 40.00 cm</v>
          </cell>
          <cell r="C1507" t="str">
            <v>CJ</v>
          </cell>
          <cell r="D1507">
            <v>50.0625</v>
          </cell>
        </row>
        <row r="1508">
          <cell r="A1508" t="str">
            <v>001.27.00240</v>
          </cell>
          <cell r="B1508" t="str">
            <v>Execução de caixa de passagem de alvenaria de 1/2 vez c/ tampa de concreto impermeabilizada 40.00 x 40.00 x 40.00 cm</v>
          </cell>
          <cell r="C1508" t="str">
            <v>CJ</v>
          </cell>
          <cell r="D1508">
            <v>62.212899999999998</v>
          </cell>
        </row>
        <row r="1509">
          <cell r="A1509" t="str">
            <v>001.27.00260</v>
          </cell>
          <cell r="B1509" t="str">
            <v>Execução de caixa de passagem de alvenaria de 1/2 vez c/ tampa de concreto impermeabilizada 40.00 x 40.00 x 50.00 cm</v>
          </cell>
          <cell r="C1509" t="str">
            <v>CJ</v>
          </cell>
          <cell r="D1509">
            <v>73.571399999999997</v>
          </cell>
        </row>
        <row r="1510">
          <cell r="A1510" t="str">
            <v>001.27.00280</v>
          </cell>
          <cell r="B1510" t="str">
            <v>Execução de caixa de passagem de alvenaria de 1/2 vez c/ tampa de concreto impermeabiliada 50.00 x 50.00 x 50.00 cm</v>
          </cell>
          <cell r="C1510" t="str">
            <v>CJ</v>
          </cell>
          <cell r="D1510">
            <v>90.819299999999998</v>
          </cell>
        </row>
        <row r="1511">
          <cell r="A1511" t="str">
            <v>001.27.00300</v>
          </cell>
          <cell r="B1511" t="str">
            <v>Exeucução de caixa de passagem de alvenaria de 1/2 vez c/ tampa de concreto impermeabilizada 50.00 x 50.00 x 60.0 cm</v>
          </cell>
          <cell r="C1511" t="str">
            <v>CJ</v>
          </cell>
          <cell r="D1511">
            <v>101.2668</v>
          </cell>
        </row>
        <row r="1512">
          <cell r="A1512" t="str">
            <v>001.27.00320</v>
          </cell>
          <cell r="B1512" t="str">
            <v>Execuçãoo de caixa de passagem de alvenaria de 1/2 vez c/ tampa de concreto impermeabilizada 60.00 x 60.00 x 60.00 cm</v>
          </cell>
          <cell r="C1512" t="str">
            <v>CJ</v>
          </cell>
          <cell r="D1512">
            <v>123.7026</v>
          </cell>
        </row>
        <row r="1513">
          <cell r="A1513" t="str">
            <v>001.27.00340</v>
          </cell>
          <cell r="B1513" t="str">
            <v>Execução de caixa de passagem de alvenaria de 1/2 vez c/ tampa de concreto impermeabilizada 80.00 x 80.00 x 80.00 cm</v>
          </cell>
          <cell r="C1513" t="str">
            <v>CJ</v>
          </cell>
          <cell r="D1513">
            <v>203.7149</v>
          </cell>
        </row>
        <row r="1514">
          <cell r="A1514" t="str">
            <v>001.27.00360</v>
          </cell>
          <cell r="B1514" t="str">
            <v>Execução de caixa de passagem de alvenaria de 1/2 vez c/ tampa de concreto impermeabilizada 80.00 x 80.00 x 100.00 cm</v>
          </cell>
          <cell r="C1514" t="str">
            <v>CJ</v>
          </cell>
          <cell r="D1514">
            <v>239.95400000000001</v>
          </cell>
        </row>
        <row r="1515">
          <cell r="A1515" t="str">
            <v>001.28</v>
          </cell>
          <cell r="B1515" t="str">
            <v>INSTALAÇÕES ELÉTRICAS - ALTA TENSÃO</v>
          </cell>
        </row>
        <row r="1516">
          <cell r="A1516" t="str">
            <v>001.28.00020</v>
          </cell>
          <cell r="B1516" t="str">
            <v>Fornecimento e Instalação de Fio de Alumínio nº 6 AWG (37 kg / km)</v>
          </cell>
          <cell r="C1516" t="str">
            <v>KG</v>
          </cell>
          <cell r="D1516">
            <v>16.091100000000001</v>
          </cell>
        </row>
        <row r="1517">
          <cell r="A1517" t="str">
            <v>001.28.00040</v>
          </cell>
          <cell r="B1517" t="str">
            <v>Fornecimento e Instalação de Fusível NH 63 A, 500 V</v>
          </cell>
          <cell r="C1517" t="str">
            <v>UN</v>
          </cell>
          <cell r="D1517">
            <v>5.1638999999999999</v>
          </cell>
        </row>
        <row r="1518">
          <cell r="A1518" t="str">
            <v>001.28.00060</v>
          </cell>
          <cell r="B1518" t="str">
            <v>Fornecimento e Instalação de Fusível NH 80 A, 500 V</v>
          </cell>
          <cell r="C1518" t="str">
            <v>UN</v>
          </cell>
          <cell r="D1518">
            <v>5.1638999999999999</v>
          </cell>
        </row>
        <row r="1519">
          <cell r="A1519" t="str">
            <v>001.28.00080</v>
          </cell>
          <cell r="B1519" t="str">
            <v>Fornecimento e Instalação de Fusível NH 100 A, 500 V</v>
          </cell>
          <cell r="C1519" t="str">
            <v>UN</v>
          </cell>
          <cell r="D1519">
            <v>5.1638999999999999</v>
          </cell>
        </row>
        <row r="1520">
          <cell r="A1520" t="str">
            <v>001.28.00100</v>
          </cell>
          <cell r="B1520" t="str">
            <v>Fornecimento e Instalação de Fusível NH 160 A, 500 V</v>
          </cell>
          <cell r="C1520" t="str">
            <v>UN</v>
          </cell>
          <cell r="D1520">
            <v>5.1939000000000002</v>
          </cell>
        </row>
        <row r="1521">
          <cell r="A1521" t="str">
            <v>001.28.00120</v>
          </cell>
          <cell r="B1521" t="str">
            <v>Fornecimento e Instalação de Fusível NH 200 A, 500 V</v>
          </cell>
          <cell r="C1521" t="str">
            <v>UN</v>
          </cell>
          <cell r="D1521">
            <v>14.9857</v>
          </cell>
        </row>
        <row r="1522">
          <cell r="A1522" t="str">
            <v>001.28.00140</v>
          </cell>
          <cell r="B1522" t="str">
            <v>Fornecimento e Instalação de Fusível NH 315 A, 500 V</v>
          </cell>
          <cell r="C1522" t="str">
            <v>UN</v>
          </cell>
          <cell r="D1522">
            <v>23.335699999999999</v>
          </cell>
        </row>
        <row r="1523">
          <cell r="A1523" t="str">
            <v>001.28.00160</v>
          </cell>
          <cell r="B1523" t="str">
            <v>Fornecimento e Instalação de Fusível NH 400 A, 500 V</v>
          </cell>
          <cell r="C1523" t="str">
            <v>UN</v>
          </cell>
          <cell r="D1523">
            <v>23.335699999999999</v>
          </cell>
        </row>
        <row r="1524">
          <cell r="A1524" t="str">
            <v>001.28.00180</v>
          </cell>
          <cell r="B1524" t="str">
            <v>Fornecimento e Instalação de Fusível NH 630 A, 500 V</v>
          </cell>
          <cell r="C1524" t="str">
            <v>UN</v>
          </cell>
          <cell r="D1524">
            <v>34.935699999999997</v>
          </cell>
        </row>
        <row r="1525">
          <cell r="A1525" t="str">
            <v>001.28.00200</v>
          </cell>
          <cell r="B1525" t="str">
            <v>Fornecimento e instalação de chave blindada triplar 3x125amp/500v</v>
          </cell>
          <cell r="C1525" t="str">
            <v>CJ</v>
          </cell>
          <cell r="D1525">
            <v>322.3707</v>
          </cell>
        </row>
        <row r="1526">
          <cell r="A1526" t="str">
            <v>001.28.00220</v>
          </cell>
          <cell r="B1526" t="str">
            <v>Fornecimento e Instalação de Armação Secundária 02 Estribos- Zincada</v>
          </cell>
          <cell r="C1526" t="str">
            <v>UN</v>
          </cell>
          <cell r="D1526">
            <v>14.4152</v>
          </cell>
        </row>
        <row r="1527">
          <cell r="A1527" t="str">
            <v>001.28.00240</v>
          </cell>
          <cell r="B1527" t="str">
            <v>Fornecimento e Instalação de Isolador Tipo Roldana 76 x 79 mm2</v>
          </cell>
          <cell r="C1527" t="str">
            <v>UN</v>
          </cell>
          <cell r="D1527">
            <v>2.9152</v>
          </cell>
        </row>
        <row r="1528">
          <cell r="A1528" t="str">
            <v>001.28.00260</v>
          </cell>
          <cell r="B1528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528" t="str">
            <v>M2</v>
          </cell>
          <cell r="D1528">
            <v>143.21899999999999</v>
          </cell>
        </row>
        <row r="1529">
          <cell r="A1529" t="str">
            <v>001.28.00280</v>
          </cell>
          <cell r="B1529" t="str">
            <v>Fornecimento e instalação de placa de advertência com os dizeres """"""""perigo de morte alta tensão""""""""</v>
          </cell>
          <cell r="C1529" t="str">
            <v>PC</v>
          </cell>
          <cell r="D1529">
            <v>36.119199999999999</v>
          </cell>
        </row>
        <row r="1530">
          <cell r="A1530" t="str">
            <v>001.28.00300</v>
          </cell>
          <cell r="B1530" t="str">
            <v>Fornecimento e instalação de arame de aço galvanizado nº 14bwg (27 2g/m)</v>
          </cell>
          <cell r="C1530" t="str">
            <v>KG</v>
          </cell>
          <cell r="D1530">
            <v>8.3538999999999994</v>
          </cell>
        </row>
        <row r="1531">
          <cell r="A1531" t="str">
            <v>001.28.00320</v>
          </cell>
          <cell r="B1531" t="str">
            <v>Fornecimento e instalação de cabo de aço 6.4mm 1/4""""""""</v>
          </cell>
          <cell r="C1531" t="str">
            <v>ML</v>
          </cell>
          <cell r="D1531">
            <v>2.5829</v>
          </cell>
        </row>
        <row r="1532">
          <cell r="A1532" t="str">
            <v>001.28.00340</v>
          </cell>
          <cell r="B1532" t="str">
            <v>Esticador galvanizado de diâm. 1/2""""""""</v>
          </cell>
          <cell r="C1532" t="str">
            <v>UN</v>
          </cell>
          <cell r="D1532">
            <v>13.0357</v>
          </cell>
        </row>
        <row r="1533">
          <cell r="A1533" t="str">
            <v>001.28.00360</v>
          </cell>
          <cell r="B1533" t="str">
            <v>Fornecimento e instalação de sapatilha para cabo de aço ate 3/8</v>
          </cell>
          <cell r="C1533" t="str">
            <v>UN</v>
          </cell>
          <cell r="D1533">
            <v>1.5739000000000001</v>
          </cell>
        </row>
        <row r="1534">
          <cell r="A1534" t="str">
            <v>001.28.00380</v>
          </cell>
          <cell r="B1534" t="str">
            <v>Fornecimento e instalação de fita de alumínio para proteção de 1 x 10 mm</v>
          </cell>
          <cell r="C1534" t="str">
            <v>KG</v>
          </cell>
          <cell r="D1534">
            <v>34.317599999999999</v>
          </cell>
        </row>
        <row r="1535">
          <cell r="A1535" t="str">
            <v>001.28.00400</v>
          </cell>
          <cell r="B1535" t="str">
            <v>Fornecimento e instalação de arruela redonda para parafuso diam. 16.00 mm (5/8"""""""""""""""")</v>
          </cell>
          <cell r="C1535" t="str">
            <v>UN</v>
          </cell>
          <cell r="D1535">
            <v>0.79190000000000005</v>
          </cell>
        </row>
        <row r="1536">
          <cell r="A1536" t="str">
            <v>001.28.00420</v>
          </cell>
          <cell r="B1536" t="str">
            <v>Fornecimento e instalação de porca quadrada para parafuso diâmetro 16.00mm</v>
          </cell>
          <cell r="C1536" t="str">
            <v>UN</v>
          </cell>
          <cell r="D1536">
            <v>1.2239</v>
          </cell>
        </row>
        <row r="1537">
          <cell r="A1537" t="str">
            <v>001.28.00440</v>
          </cell>
          <cell r="B1537" t="str">
            <v>Fornecimento e instalação de Cabo de Alumínio Nú 2 CA AWG (Sem Alma)</v>
          </cell>
          <cell r="C1537" t="str">
            <v>KG</v>
          </cell>
          <cell r="D1537">
            <v>19.201499999999999</v>
          </cell>
        </row>
        <row r="1538">
          <cell r="A1538" t="str">
            <v>001.28.00460</v>
          </cell>
          <cell r="B1538" t="str">
            <v>Fornecimento e instalação de Cabo de Alumínio Nú 2 CAA AWG SPARROW</v>
          </cell>
          <cell r="C1538" t="str">
            <v>KG</v>
          </cell>
          <cell r="D1538">
            <v>16.049700000000001</v>
          </cell>
        </row>
        <row r="1539">
          <cell r="A1539" t="str">
            <v>001.28.00480</v>
          </cell>
          <cell r="B1539" t="str">
            <v>Fornecimento e Instalação de Cabo de Alumínio Multiplexado 3 x 1 x 35 mm2 + 35 mm2 - Fase CA, Isolamento com XLPE e Neutro Nú CAL</v>
          </cell>
          <cell r="C1539" t="str">
            <v>ML</v>
          </cell>
          <cell r="D1539">
            <v>12.3879</v>
          </cell>
        </row>
        <row r="1540">
          <cell r="A1540" t="str">
            <v>001.28.00500</v>
          </cell>
          <cell r="B1540" t="str">
            <v>Fornecimento e Instalação de Cabo de Alumínio Multiplexado 3 x 1 x 70 mm2 + 70 mm2 - Fase CA, Isolamento com XLPE e Neutro Nú CAL</v>
          </cell>
          <cell r="C1540" t="str">
            <v>ML</v>
          </cell>
          <cell r="D1540">
            <v>21.639299999999999</v>
          </cell>
        </row>
        <row r="1541">
          <cell r="A1541" t="str">
            <v>001.28.00520</v>
          </cell>
          <cell r="B1541" t="str">
            <v>Fornecimento e Instalação de Cabo de Alumínio Multiplexado 3 x 1 x 120 mm2 + 70 mm2 - Fase CA, Isolamento com XLPE e Neutro Nú CAL</v>
          </cell>
          <cell r="C1541" t="str">
            <v>ML</v>
          </cell>
          <cell r="D1541">
            <v>32.8491</v>
          </cell>
        </row>
        <row r="1542">
          <cell r="A1542" t="str">
            <v>001.28.00540</v>
          </cell>
          <cell r="B1542" t="str">
            <v>Fornecimento e instalação de Cruzeta de Concreto 90 x 90 x 2000 mm - 250 daN - Retangular</v>
          </cell>
          <cell r="C1542" t="str">
            <v>UN</v>
          </cell>
          <cell r="D1542">
            <v>63.207799999999999</v>
          </cell>
        </row>
        <row r="1543">
          <cell r="A1543" t="str">
            <v>001.28.00560</v>
          </cell>
          <cell r="B1543" t="str">
            <v>Fornecimento e Instalação de Mão Francesa Plana 3/16"""""""""""""""" x 32 x 619 mm</v>
          </cell>
          <cell r="C1543" t="str">
            <v>UN</v>
          </cell>
          <cell r="D1543">
            <v>7.5087000000000002</v>
          </cell>
        </row>
        <row r="1544">
          <cell r="A1544" t="str">
            <v>001.28.00580</v>
          </cell>
          <cell r="B1544" t="str">
            <v>Fornecimento e Instalação de Olhal Para Parafuso de Diam.16mm</v>
          </cell>
          <cell r="C1544" t="str">
            <v>UN</v>
          </cell>
          <cell r="D1544">
            <v>8.7087000000000003</v>
          </cell>
        </row>
        <row r="1545">
          <cell r="A1545" t="str">
            <v>001.28.00600</v>
          </cell>
          <cell r="B1545" t="str">
            <v>Fornecimento e Instalação de Isolador de Disco de 154.00 mm (6"""""""""""""""")</v>
          </cell>
          <cell r="C1545" t="str">
            <v>UN</v>
          </cell>
          <cell r="D1545">
            <v>25.358699999999999</v>
          </cell>
        </row>
        <row r="1546">
          <cell r="A1546" t="str">
            <v>001.28.00620</v>
          </cell>
          <cell r="B1546" t="str">
            <v>Fornecimento e instalação de Isolador de Pilar 15.00 Kv - 110 Kv</v>
          </cell>
          <cell r="C1546" t="str">
            <v>UN</v>
          </cell>
          <cell r="D1546">
            <v>59.3947</v>
          </cell>
        </row>
        <row r="1547">
          <cell r="A1547" t="str">
            <v>001.28.00640</v>
          </cell>
          <cell r="B1547" t="str">
            <v>Fornecimento e instalação de Isolador de Pilar 34,50 Kv - 170 Kv</v>
          </cell>
          <cell r="C1547" t="str">
            <v>UN</v>
          </cell>
          <cell r="D1547">
            <v>56.134700000000002</v>
          </cell>
        </row>
        <row r="1548">
          <cell r="A1548" t="str">
            <v>001.28.00650</v>
          </cell>
          <cell r="B1548" t="str">
            <v>Fornecimento e Instalação de Pino Auto Travante 16.00 x 140.00 mm 15/34.5 KV</v>
          </cell>
          <cell r="C1548" t="str">
            <v>UN</v>
          </cell>
          <cell r="D1548">
            <v>7.1462000000000003</v>
          </cell>
        </row>
        <row r="1549">
          <cell r="A1549" t="str">
            <v>001.28.00660</v>
          </cell>
          <cell r="B1549" t="str">
            <v>Fornecimento e Instalação de Pino Auto Travante 16.00 x 168.00 mm 15/34.5 KV</v>
          </cell>
          <cell r="C1549" t="str">
            <v>UN</v>
          </cell>
          <cell r="D1549">
            <v>6.8061999999999996</v>
          </cell>
        </row>
        <row r="1550">
          <cell r="A1550" t="str">
            <v>001.28.00670</v>
          </cell>
          <cell r="B1550" t="str">
            <v>Fornecimento e Instalação de Pino Auto Travante 16.00 x 200.00 mm 15/34.5 KV</v>
          </cell>
          <cell r="C1550" t="str">
            <v>UN</v>
          </cell>
          <cell r="D1550">
            <v>7.6462000000000003</v>
          </cell>
        </row>
        <row r="1551">
          <cell r="A1551" t="str">
            <v>001.28.00680</v>
          </cell>
          <cell r="B1551" t="str">
            <v>Fornecimento e Instalação de Arruela Quadrada 16.00 de 38.00mm X 3.00 mm com Furo de 18.00 mm</v>
          </cell>
          <cell r="C1551" t="str">
            <v>UN</v>
          </cell>
          <cell r="D1551">
            <v>0.58709999999999996</v>
          </cell>
        </row>
        <row r="1552">
          <cell r="A1552" t="str">
            <v>001.28.00700</v>
          </cell>
          <cell r="B1552" t="str">
            <v>Fornecimento e Instalação de Gancho Olhal</v>
          </cell>
          <cell r="C1552" t="str">
            <v>UN</v>
          </cell>
          <cell r="D1552">
            <v>6.5769000000000002</v>
          </cell>
        </row>
        <row r="1553">
          <cell r="A1553" t="str">
            <v>001.28.00720</v>
          </cell>
          <cell r="B1553" t="str">
            <v>Fornecimento e instalação de chave fusível XS 15 Kv 300 A 10 KA Mod C</v>
          </cell>
          <cell r="C1553" t="str">
            <v>UN</v>
          </cell>
          <cell r="D1553">
            <v>140.41839999999999</v>
          </cell>
        </row>
        <row r="1554">
          <cell r="A1554" t="str">
            <v>001.28.00740</v>
          </cell>
          <cell r="B1554" t="str">
            <v>Fornecimento e Instalação de Chave Fusível XS 36,2 Kv 300 A 5 KA Mod C</v>
          </cell>
          <cell r="C1554" t="str">
            <v>UN</v>
          </cell>
          <cell r="D1554">
            <v>205.5384</v>
          </cell>
        </row>
        <row r="1555">
          <cell r="A1555" t="str">
            <v>001.28.00760</v>
          </cell>
          <cell r="B1555" t="str">
            <v>Fornecimento e Instalação de Chave Seccionadora Unipolar 15 Kv 630 A 95 KV C/ Terminal</v>
          </cell>
          <cell r="C1555" t="str">
            <v>UN</v>
          </cell>
          <cell r="D1555">
            <v>236.57149999999999</v>
          </cell>
        </row>
        <row r="1556">
          <cell r="A1556" t="str">
            <v>001.28.00780</v>
          </cell>
          <cell r="B1556" t="str">
            <v>Fornecimento e Instalação de Chave Seccionadora Unipolar 36,2 Kv 630 A 95 KV C/ Terminal</v>
          </cell>
          <cell r="C1556" t="str">
            <v>UN</v>
          </cell>
          <cell r="D1556">
            <v>405.11919999999998</v>
          </cell>
        </row>
        <row r="1557">
          <cell r="A1557" t="str">
            <v>001.28.00800</v>
          </cell>
          <cell r="B1557" t="str">
            <v>Fornecimento e Instalação de Protetor de Bucha A. T. de Trafo 15 KV</v>
          </cell>
          <cell r="C1557" t="str">
            <v>UN</v>
          </cell>
          <cell r="D1557">
            <v>15.6869</v>
          </cell>
        </row>
        <row r="1558">
          <cell r="A1558" t="str">
            <v>001.28.00820</v>
          </cell>
          <cell r="B1558" t="str">
            <v>Fornecimento e Instalação de Elo Fusível de Alta Tensão 1 H 500 mm</v>
          </cell>
          <cell r="C1558" t="str">
            <v>UN</v>
          </cell>
          <cell r="D1558">
            <v>4.0476999999999999</v>
          </cell>
        </row>
        <row r="1559">
          <cell r="A1559" t="str">
            <v>001.28.00840</v>
          </cell>
          <cell r="B1559" t="str">
            <v>Fornecimento e Instalação de Elo Fusível de Alta Tensão 2 H 500 mm</v>
          </cell>
          <cell r="C1559" t="str">
            <v>UN</v>
          </cell>
          <cell r="D1559">
            <v>4.0476999999999999</v>
          </cell>
        </row>
        <row r="1560">
          <cell r="A1560" t="str">
            <v>001.28.00860</v>
          </cell>
          <cell r="B1560" t="str">
            <v>Fornecimento e Instalação de Elo Fusível de Alta Tensão 3 H 500 mm</v>
          </cell>
          <cell r="C1560" t="str">
            <v>UN</v>
          </cell>
          <cell r="D1560">
            <v>4.0476999999999999</v>
          </cell>
        </row>
        <row r="1561">
          <cell r="A1561" t="str">
            <v>001.28.00880</v>
          </cell>
          <cell r="B1561" t="str">
            <v>Fornecimento e Instalação de Elo Fusível de Alta Tensão 5 H 500 mm</v>
          </cell>
          <cell r="C1561" t="str">
            <v>UN</v>
          </cell>
          <cell r="D1561">
            <v>4.0476999999999999</v>
          </cell>
        </row>
        <row r="1562">
          <cell r="A1562" t="str">
            <v>001.28.00900</v>
          </cell>
          <cell r="B1562" t="str">
            <v>Fornecimento e Instalação de Elo Fusível de Alta Tensão 6 K 500 mm</v>
          </cell>
          <cell r="C1562" t="str">
            <v>UN</v>
          </cell>
          <cell r="D1562">
            <v>4.0476999999999999</v>
          </cell>
        </row>
        <row r="1563">
          <cell r="A1563" t="str">
            <v>001.28.00920</v>
          </cell>
          <cell r="B1563" t="str">
            <v>Fornecimento e Instalação de Elo Fusível de Alta Tensão 15 K 500 mm</v>
          </cell>
          <cell r="C1563" t="str">
            <v>UN</v>
          </cell>
          <cell r="D1563">
            <v>4.5476999999999999</v>
          </cell>
        </row>
        <row r="1564">
          <cell r="A1564" t="str">
            <v>001.28.00940</v>
          </cell>
          <cell r="B1564" t="str">
            <v>Fornecimento e Instalação de Elo Fusível de Alta Tensão 25 K 500 mm</v>
          </cell>
          <cell r="C1564" t="str">
            <v>UN</v>
          </cell>
          <cell r="D1564">
            <v>4.8476999999999997</v>
          </cell>
        </row>
        <row r="1565">
          <cell r="A1565" t="str">
            <v>001.28.00960</v>
          </cell>
          <cell r="B1565" t="str">
            <v>Fornecimento e Instalação de Para Raios 12 KV 10 KA Polimérico ZQP</v>
          </cell>
          <cell r="C1565" t="str">
            <v>UN</v>
          </cell>
          <cell r="D1565">
            <v>151.82839999999999</v>
          </cell>
        </row>
        <row r="1566">
          <cell r="A1566" t="str">
            <v>001.28.00980</v>
          </cell>
          <cell r="B1566" t="str">
            <v>Fornecimento e Instalação de Para Raios 30 KV 10 KA Polimérico ZQP</v>
          </cell>
          <cell r="C1566" t="str">
            <v>UN</v>
          </cell>
          <cell r="D1566">
            <v>351.63839999999999</v>
          </cell>
        </row>
        <row r="1567">
          <cell r="A1567" t="str">
            <v>001.28.01000</v>
          </cell>
          <cell r="B1567" t="str">
            <v>Fornecimento e Instalação de Suporte Padronizado para Transformador Para Poste DT 195 X 100 mm</v>
          </cell>
          <cell r="C1567" t="str">
            <v>UN</v>
          </cell>
          <cell r="D1567">
            <v>70.498400000000004</v>
          </cell>
        </row>
        <row r="1568">
          <cell r="A1568" t="str">
            <v>001.28.01020</v>
          </cell>
          <cell r="B1568" t="str">
            <v>Fornecimento e Instalação de Suporte Para Transformador Em Poste Circular 210 mm</v>
          </cell>
          <cell r="C1568" t="str">
            <v>UN</v>
          </cell>
          <cell r="D1568">
            <v>66.238399999999999</v>
          </cell>
        </row>
        <row r="1569">
          <cell r="A1569" t="str">
            <v>001.28.01040</v>
          </cell>
          <cell r="B1569" t="str">
            <v>Fornecimento e Instalação de Suporte Para Transformador Em Poste Circular 230 mm</v>
          </cell>
          <cell r="C1569" t="str">
            <v>UN</v>
          </cell>
          <cell r="D1569">
            <v>71.238399999999999</v>
          </cell>
        </row>
        <row r="1570">
          <cell r="A1570" t="str">
            <v>001.28.01060</v>
          </cell>
          <cell r="B1570" t="str">
            <v>Fornecimento e instalação de transformador Monofásico - MRT - Tensão Secundária 245/127 V 34.5 KV - 15 KVA</v>
          </cell>
          <cell r="C1570" t="str">
            <v>UN</v>
          </cell>
          <cell r="D1570">
            <v>2042.8607999999999</v>
          </cell>
        </row>
        <row r="1571">
          <cell r="A1571" t="str">
            <v>001.28.01080</v>
          </cell>
          <cell r="B1571" t="str">
            <v>Forneciemnto e instalação de transformador trifásico 13 8 13 2 6 6kv/220v primário em triângulo secundário em estrela 30 kva</v>
          </cell>
          <cell r="C1571" t="str">
            <v>UN</v>
          </cell>
          <cell r="D1571">
            <v>3501.8607999999999</v>
          </cell>
        </row>
        <row r="1572">
          <cell r="A1572" t="str">
            <v>001.28.01100</v>
          </cell>
          <cell r="B1572" t="str">
            <v>Forneciemnto e instalação de transformador trifásico 13 8 13 2 6 6kv/220v primário em triângulo secundário em estrela 45 kva</v>
          </cell>
          <cell r="C1572" t="str">
            <v>UN</v>
          </cell>
          <cell r="D1572">
            <v>4263.8608000000004</v>
          </cell>
        </row>
        <row r="1573">
          <cell r="A1573" t="str">
            <v>001.28.01120</v>
          </cell>
          <cell r="B1573" t="str">
            <v>Forneciemnto e instalação de transformador trifásico 13 8 13 2 6 6kv/220v primário em triângulo secundário em estrela 75 kva</v>
          </cell>
          <cell r="C1573" t="str">
            <v>UN</v>
          </cell>
          <cell r="D1573">
            <v>5924.0528000000004</v>
          </cell>
        </row>
        <row r="1574">
          <cell r="A1574" t="str">
            <v>001.28.01140</v>
          </cell>
          <cell r="B1574" t="str">
            <v>Forneciemnto e instalação de transformador trifásico 13 8 13 2 6 6kv/220v primário em triângulo secundário em estrela 112.5 kva</v>
          </cell>
          <cell r="C1574" t="str">
            <v>UN</v>
          </cell>
          <cell r="D1574">
            <v>7465.0680000000002</v>
          </cell>
        </row>
        <row r="1575">
          <cell r="A1575" t="str">
            <v>001.28.01160</v>
          </cell>
          <cell r="B1575" t="str">
            <v>Fornecimento e instalação de transformador trifásico 13 8 13 2 6 6kv/220v primário em triângulo secundário em estrela 150 kva</v>
          </cell>
          <cell r="C1575" t="str">
            <v>UN</v>
          </cell>
          <cell r="D1575">
            <v>9232.768</v>
          </cell>
        </row>
        <row r="1576">
          <cell r="A1576" t="str">
            <v>001.28.01180</v>
          </cell>
          <cell r="B1576" t="str">
            <v>Fornecimento e instalação de transformador trifásico 13 8 13 2 6 6kv/220v primário em triângulo secundário em estrela 15 kva</v>
          </cell>
          <cell r="C1576" t="str">
            <v>UN</v>
          </cell>
          <cell r="D1576">
            <v>2352.384</v>
          </cell>
        </row>
        <row r="1577">
          <cell r="A1577" t="str">
            <v>001.28.01200</v>
          </cell>
          <cell r="B1577" t="str">
            <v>Fornecimento e instalação de transformador trifásico 13 8 13 2 6 6kv/220v primário em triângulo secundário em estrela 225 kva</v>
          </cell>
          <cell r="C1577" t="str">
            <v>UN</v>
          </cell>
          <cell r="D1577">
            <v>12229.168</v>
          </cell>
        </row>
        <row r="1578">
          <cell r="A1578" t="str">
            <v>001.28.01220</v>
          </cell>
          <cell r="B1578" t="str">
            <v>Forneciemnto e instalação de transformador trifásico 13 8 13 2 6 6kv/220v primário em triângulo secundário em estrela 300 kva</v>
          </cell>
          <cell r="C1578" t="str">
            <v>UN</v>
          </cell>
          <cell r="D1578">
            <v>15342.168</v>
          </cell>
        </row>
        <row r="1579">
          <cell r="A1579" t="str">
            <v>001.28.01240</v>
          </cell>
          <cell r="B1579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579" t="str">
            <v>UN</v>
          </cell>
          <cell r="D1579">
            <v>21867.96</v>
          </cell>
        </row>
        <row r="1580">
          <cell r="A1580" t="str">
            <v>001.28.01260</v>
          </cell>
          <cell r="B1580" t="str">
            <v>Fornecimento e instalação de parafuso cabeça quadrada """"""""""""""""máquina"""""""""""""""", dim.16.00mm x 125.00mm, incl. Porca Quadrada Diam. Interno 16.00 mm</v>
          </cell>
          <cell r="C1580" t="str">
            <v>CJ</v>
          </cell>
          <cell r="D1580">
            <v>3.0634999999999999</v>
          </cell>
        </row>
        <row r="1581">
          <cell r="A1581" t="str">
            <v>001.28.01280</v>
          </cell>
          <cell r="B1581" t="str">
            <v>Fornecimento e instalação de parafuso cabeça quadrada """"""""""""""""máquina"""""""""""""""", dim.16.00mm x 150.00mm, incl. Porca Quadrada Diam. Interno 16.00 mm</v>
          </cell>
          <cell r="C1581" t="str">
            <v>CJ</v>
          </cell>
          <cell r="D1581">
            <v>3.4434999999999998</v>
          </cell>
        </row>
        <row r="1582">
          <cell r="A1582" t="str">
            <v>001.28.01300</v>
          </cell>
          <cell r="B1582" t="str">
            <v>Fornecimento e instalação de parafuso cabeça quadrada """"""""""""""""máquina"""""""""""""""", dim.16.00mm x 200.00mm, incl. Porca Quadrada Diam. Interno 16.00 mm</v>
          </cell>
          <cell r="C1582" t="str">
            <v>CJ</v>
          </cell>
          <cell r="D1582">
            <v>3.6135000000000002</v>
          </cell>
        </row>
        <row r="1583">
          <cell r="A1583" t="str">
            <v>001.28.01320</v>
          </cell>
          <cell r="B1583" t="str">
            <v>Fornecimento e instalação de parafuso cabeça quadrada """"""""""""""""máquina"""""""""""""""", dim.16.00mm x 250.00mm, incl. Porca Quadrada Diam. Interno 16.00 mm</v>
          </cell>
          <cell r="C1583" t="str">
            <v>CJ</v>
          </cell>
          <cell r="D1583">
            <v>4.0735000000000001</v>
          </cell>
        </row>
        <row r="1584">
          <cell r="A1584" t="str">
            <v>001.28.01340</v>
          </cell>
          <cell r="B1584" t="str">
            <v>Fornecimento e instalação de parafuso cabeça quadrada """"""""""""""""máquina"""""""""""""""", dim.16.00mm x 300.00mm, incl. Porca Quadrada Diam. Interno 16.00 mm</v>
          </cell>
          <cell r="C1584" t="str">
            <v>CJ</v>
          </cell>
          <cell r="D1584">
            <v>4.7134999999999998</v>
          </cell>
        </row>
        <row r="1585">
          <cell r="A1585" t="str">
            <v>001.28.01360</v>
          </cell>
          <cell r="B1585" t="str">
            <v>Fornecimento e instalação de parafuso cabeça quadrada """"""""""""""""máquina"""""""""""""""", dim.16.00mm x 350.00mm, incl. Porca Quadrada Diam. Interno 16.00 mm</v>
          </cell>
          <cell r="C1585" t="str">
            <v>CJ</v>
          </cell>
          <cell r="D1585">
            <v>5.6435000000000004</v>
          </cell>
        </row>
        <row r="1586">
          <cell r="A1586" t="str">
            <v>001.28.01380</v>
          </cell>
          <cell r="B1586" t="str">
            <v>Fornecimento e instalação de parafuso cabeça quadrada """"""""""""""""máquina"""""""""""""""", dim.16.00mm x 400.00mm, incl. Porca Quadrada Diam. Interno 16.00 mm</v>
          </cell>
          <cell r="C1586" t="str">
            <v>CJ</v>
          </cell>
          <cell r="D1586">
            <v>6.1435000000000004</v>
          </cell>
        </row>
        <row r="1587">
          <cell r="A1587" t="str">
            <v>001.28.01400</v>
          </cell>
          <cell r="B1587" t="str">
            <v>Fornecimento e instalação de parafuso cabeça quadrada """"""""""""""""máquina"""""""""""""""", dim.16.00mm x 450.00mm, incl. Porca Quadrada Diam. Interno 16.00 mm</v>
          </cell>
          <cell r="C1587" t="str">
            <v>CJ</v>
          </cell>
          <cell r="D1587">
            <v>6.5434999999999999</v>
          </cell>
        </row>
        <row r="1588">
          <cell r="A1588" t="str">
            <v>001.28.01420</v>
          </cell>
          <cell r="B1588" t="str">
            <v>Fornecimento e instalação de parafuso cabeça quadrada """"""""""""""""máquina"""""""""""""""", dim.16.00mm x 500.00mm, incl. Porca Quadrada Diam. Interno 16.00 mm</v>
          </cell>
          <cell r="C1588" t="str">
            <v>CJ</v>
          </cell>
          <cell r="D1588">
            <v>7.2435</v>
          </cell>
        </row>
        <row r="1589">
          <cell r="A1589" t="str">
            <v>001.28.01440</v>
          </cell>
          <cell r="B1589" t="str">
            <v>Fornecimento e instalação de cinta circular de aço galvanizado diam. 150.00 mm</v>
          </cell>
          <cell r="C1589" t="str">
            <v>UN</v>
          </cell>
          <cell r="D1589">
            <v>14.858700000000001</v>
          </cell>
        </row>
        <row r="1590">
          <cell r="A1590" t="str">
            <v>001.28.01460</v>
          </cell>
          <cell r="B1590" t="str">
            <v>Fornecimento e instalação de cinta circular de aço galvanizado diam. 160.00 mm</v>
          </cell>
          <cell r="C1590" t="str">
            <v>UN</v>
          </cell>
          <cell r="D1590">
            <v>15.0587</v>
          </cell>
        </row>
        <row r="1591">
          <cell r="A1591" t="str">
            <v>001.28.01480</v>
          </cell>
          <cell r="B1591" t="str">
            <v>Fornecimento e instalação de cinta circular de aço galvanizado diam. 170.00 mm</v>
          </cell>
          <cell r="C1591" t="str">
            <v>UN</v>
          </cell>
          <cell r="D1591">
            <v>15.258699999999999</v>
          </cell>
        </row>
        <row r="1592">
          <cell r="A1592" t="str">
            <v>001.28.01500</v>
          </cell>
          <cell r="B1592" t="str">
            <v>Fornecimento e instalação de cinta circular de aço galvanizado diam. 180.00 mm</v>
          </cell>
          <cell r="C1592" t="str">
            <v>UN</v>
          </cell>
          <cell r="D1592">
            <v>15.6587</v>
          </cell>
        </row>
        <row r="1593">
          <cell r="A1593" t="str">
            <v>001.28.01520</v>
          </cell>
          <cell r="B1593" t="str">
            <v>Fornecimento e instalação de cinta circular de aço galvanizado diam. 190.00 mm</v>
          </cell>
          <cell r="C1593" t="str">
            <v>UN</v>
          </cell>
          <cell r="D1593">
            <v>17.2835</v>
          </cell>
        </row>
        <row r="1594">
          <cell r="A1594" t="str">
            <v>001.28.01540</v>
          </cell>
          <cell r="B1594" t="str">
            <v>Fornecimento e instalação de cinta circular de aço galvanizado diam. 200.00 mm</v>
          </cell>
          <cell r="C1594" t="str">
            <v>UN</v>
          </cell>
          <cell r="D1594">
            <v>16.6587</v>
          </cell>
        </row>
        <row r="1595">
          <cell r="A1595" t="str">
            <v>001.28.01560</v>
          </cell>
          <cell r="B1595" t="str">
            <v>Fornecimento e instalação de cinta circular de aço galvanizado diam. 210.00 mm</v>
          </cell>
          <cell r="C1595" t="str">
            <v>UN</v>
          </cell>
          <cell r="D1595">
            <v>16.9587</v>
          </cell>
        </row>
        <row r="1596">
          <cell r="A1596" t="str">
            <v>001.28.01580</v>
          </cell>
          <cell r="B1596" t="str">
            <v>Fornecimento e instalação de cinta circular de aço galvanizado diam. 220.00 mm</v>
          </cell>
          <cell r="C1596" t="str">
            <v>UN</v>
          </cell>
          <cell r="D1596">
            <v>19.807300000000001</v>
          </cell>
        </row>
        <row r="1597">
          <cell r="A1597" t="str">
            <v>001.28.01600</v>
          </cell>
          <cell r="B1597" t="str">
            <v>Fornecimento e instalação de cinta circular de aço galvanizado diam. 230.00 mm</v>
          </cell>
          <cell r="C1597" t="str">
            <v>UN</v>
          </cell>
          <cell r="D1597">
            <v>18.258700000000001</v>
          </cell>
        </row>
        <row r="1598">
          <cell r="A1598" t="str">
            <v>001.28.01620</v>
          </cell>
          <cell r="B1598" t="str">
            <v>Fornecimento e instalação de cinta circular de aço galvanizado diam. 240.00 mm</v>
          </cell>
          <cell r="C1598" t="str">
            <v>UN</v>
          </cell>
          <cell r="D1598">
            <v>18.558700000000002</v>
          </cell>
        </row>
        <row r="1599">
          <cell r="A1599" t="str">
            <v>001.28.01640</v>
          </cell>
          <cell r="B1599" t="str">
            <v>Fornecimento e instalação de cinta circular de aço galvanizado diam. 250.00 mm</v>
          </cell>
          <cell r="C1599" t="str">
            <v>UN</v>
          </cell>
          <cell r="D1599">
            <v>19.258700000000001</v>
          </cell>
        </row>
        <row r="1600">
          <cell r="A1600" t="str">
            <v>001.28.01660</v>
          </cell>
          <cell r="B1600" t="str">
            <v>Fornecimento e instalação de parafuso rosca dupla """"""""""""""""passante"""""""""""""""" dim.16.00mm x 350.00mm, incl. Porca Quadrada Diam. Interno 16.00 mm</v>
          </cell>
          <cell r="C1600" t="str">
            <v>CJ</v>
          </cell>
          <cell r="D1600">
            <v>8.3869000000000007</v>
          </cell>
        </row>
        <row r="1601">
          <cell r="A1601" t="str">
            <v>001.28.01680</v>
          </cell>
          <cell r="B1601" t="str">
            <v>Fornecimento e instalação de parafuso rosca dupla """"""""""""""""passante"""""""""""""""" dim.16.00mm x 400.00mm, incl. Porca Quadrada Diam. Interno 16.00 mm</v>
          </cell>
          <cell r="C1601" t="str">
            <v>CJ</v>
          </cell>
          <cell r="D1601">
            <v>8.3269000000000002</v>
          </cell>
        </row>
        <row r="1602">
          <cell r="A1602" t="str">
            <v>001.28.01700</v>
          </cell>
          <cell r="B1602" t="str">
            <v>Fornecimento e instalação de parafuso rosca dupla """"""""""""""""passante"""""""""""""""" dim.16.00mm x 450.00mm, incl. Porca Quadrada Diam. Interno 16.00 mm</v>
          </cell>
          <cell r="C1602" t="str">
            <v>CJ</v>
          </cell>
          <cell r="D1602">
            <v>9.4869000000000003</v>
          </cell>
        </row>
        <row r="1603">
          <cell r="A1603" t="str">
            <v>001.28.01720</v>
          </cell>
          <cell r="B1603" t="str">
            <v>Fornecimento e instalação de parafuso rosca dupla """"""""""""""""passante"""""""""""""""" dim.16.00mm x 500.00mm, incl. Porca Quadrada Diam. Interno 16.00 mm</v>
          </cell>
          <cell r="C1603" t="str">
            <v>CJ</v>
          </cell>
          <cell r="D1603">
            <v>10.0869</v>
          </cell>
        </row>
        <row r="1604">
          <cell r="A1604" t="str">
            <v>001.28.01740</v>
          </cell>
          <cell r="B1604" t="str">
            <v>Fornecimento e instalação de parafuso rosca dupla """"""""""""""""passante"""""""""""""""" dim.16.00mm x 550.00mm, incl. Porca Quadrada Diam. Interno 16.00 mm</v>
          </cell>
          <cell r="C1604" t="str">
            <v>CJ</v>
          </cell>
          <cell r="D1604">
            <v>10.386900000000001</v>
          </cell>
        </row>
        <row r="1605">
          <cell r="A1605" t="str">
            <v>001.28.01760</v>
          </cell>
          <cell r="B1605" t="str">
            <v>Fornecimento e instalação de sela p/ cruzeta de concreto</v>
          </cell>
          <cell r="C1605" t="str">
            <v>UN</v>
          </cell>
          <cell r="D1605">
            <v>7.6387</v>
          </cell>
        </row>
        <row r="1606">
          <cell r="A1606" t="str">
            <v>001.28.01780</v>
          </cell>
          <cell r="B1606" t="str">
            <v>Fornecimento e instalação de parafuso francês (cabeça abaulada) 16.00 mm x 45.00 mm, incl. Porca Quadrada Diam. Interno 16.00 mm</v>
          </cell>
          <cell r="C1606" t="str">
            <v>CJ</v>
          </cell>
          <cell r="D1606">
            <v>2.5434999999999999</v>
          </cell>
        </row>
        <row r="1607">
          <cell r="A1607" t="str">
            <v>001.28.01800</v>
          </cell>
          <cell r="B1607" t="str">
            <v>Fornecimento e instalação de parafuso francês (cabeça abaulada) 16.00 mm x150.00 mm incl. Porca Quadrada Diam. Interno 16.00 mm</v>
          </cell>
          <cell r="C1607" t="str">
            <v>CJ</v>
          </cell>
          <cell r="D1607">
            <v>3.5434999999999999</v>
          </cell>
        </row>
        <row r="1608">
          <cell r="A1608" t="str">
            <v>001.28.01810</v>
          </cell>
          <cell r="B1608" t="str">
            <v>Fornecimento e Instalação de Laço Pré Formado Lateral Simples Pref. Para Cabo 2 CAA - 15.00 KV</v>
          </cell>
          <cell r="C1608" t="str">
            <v>UN</v>
          </cell>
          <cell r="D1608">
            <v>4.5552000000000001</v>
          </cell>
        </row>
        <row r="1609">
          <cell r="A1609" t="str">
            <v>001.28.01815</v>
          </cell>
          <cell r="B1609" t="str">
            <v>Fornecimento e Instalação de Laço Pré Formado Lateral Simples Pref. Para Cabo 2 CAA - 34.5 KV</v>
          </cell>
          <cell r="C1609" t="str">
            <v>UN</v>
          </cell>
          <cell r="D1609">
            <v>4.8552</v>
          </cell>
        </row>
        <row r="1610">
          <cell r="A1610" t="str">
            <v>001.28.01820</v>
          </cell>
          <cell r="B1610" t="str">
            <v>Fornecimento e Instalação de Laço Pré Formado de Topo Pref. Para Cabo 2 CAA - 15.00 KV</v>
          </cell>
          <cell r="C1610" t="str">
            <v>UN</v>
          </cell>
          <cell r="D1610">
            <v>4.3095999999999997</v>
          </cell>
        </row>
        <row r="1611">
          <cell r="A1611" t="str">
            <v>001.28.01840</v>
          </cell>
          <cell r="B1611" t="str">
            <v>Fornecimento e Instalação de Laço Pré Formado de Topo Pref. Para Cabo 2 CAA - 34.5 KV</v>
          </cell>
          <cell r="C1611" t="str">
            <v>UN</v>
          </cell>
          <cell r="D1611">
            <v>5.1596000000000002</v>
          </cell>
        </row>
        <row r="1612">
          <cell r="A1612" t="str">
            <v>001.28.01860</v>
          </cell>
          <cell r="B1612" t="str">
            <v>Fornecimento e Instalação de Manilha Sapatilha</v>
          </cell>
          <cell r="C1612" t="str">
            <v>UN</v>
          </cell>
          <cell r="D1612">
            <v>8.1038999999999994</v>
          </cell>
        </row>
        <row r="1613">
          <cell r="A1613" t="str">
            <v>001.28.01880</v>
          </cell>
          <cell r="B1613" t="str">
            <v>Fornecimento e Instalação de Alça Pré-Formada Cabo 2 AWG</v>
          </cell>
          <cell r="C1613" t="str">
            <v>UN</v>
          </cell>
          <cell r="D1613">
            <v>2.8734999999999999</v>
          </cell>
        </row>
        <row r="1614">
          <cell r="A1614" t="str">
            <v>001.28.01900</v>
          </cell>
          <cell r="B1614" t="str">
            <v>Fornecimento e instalação de Conector Derivação Cunha  Tipo Estribo Normal - 2 - 4</v>
          </cell>
          <cell r="C1614" t="str">
            <v>UN</v>
          </cell>
          <cell r="D1614">
            <v>12.627700000000001</v>
          </cell>
        </row>
        <row r="1615">
          <cell r="A1615" t="str">
            <v>001.28.01920</v>
          </cell>
          <cell r="B1615" t="str">
            <v>Fornecimento e Instalação de Conector Derivação Tipo Cunha - AMP - Tipo II ou Similar</v>
          </cell>
          <cell r="C1615" t="str">
            <v>UN</v>
          </cell>
          <cell r="D1615">
            <v>4.8076999999999996</v>
          </cell>
        </row>
        <row r="1616">
          <cell r="A1616" t="str">
            <v>001.28.01940</v>
          </cell>
          <cell r="B1616" t="str">
            <v>Fornecimento e Instalação de Conector Derivação Cunha 602380-2  336, 4 - 2</v>
          </cell>
          <cell r="C1616" t="str">
            <v>UN</v>
          </cell>
          <cell r="D1616">
            <v>17.1477</v>
          </cell>
        </row>
        <row r="1617">
          <cell r="A1617" t="str">
            <v>001.28.01960</v>
          </cell>
          <cell r="B1617" t="str">
            <v>Fornecimento e Instalação de Conector Derivação p/Linha Viva 6 - 250</v>
          </cell>
          <cell r="C1617" t="str">
            <v>UN</v>
          </cell>
          <cell r="D1617">
            <v>12.2377</v>
          </cell>
        </row>
        <row r="1618">
          <cell r="A1618" t="str">
            <v>001.28.01980</v>
          </cell>
          <cell r="B1618" t="str">
            <v>Fornecimento e Instalação de Conector Transversal Tipo Cunha Para Aterramento 5/8"""""""""""""""" x ( 25 a 35 mm)</v>
          </cell>
          <cell r="C1618" t="str">
            <v>UN</v>
          </cell>
          <cell r="D1618">
            <v>16.587700000000002</v>
          </cell>
        </row>
        <row r="1619">
          <cell r="A1619" t="str">
            <v>001.28.02000</v>
          </cell>
          <cell r="B1619" t="str">
            <v>Fornecimento e Instalação de Cabo de Cobre Isolado XLPE 15 KV 16 mm2</v>
          </cell>
          <cell r="C1619" t="str">
            <v>ML</v>
          </cell>
          <cell r="D1619">
            <v>9.2004000000000001</v>
          </cell>
        </row>
        <row r="1620">
          <cell r="A1620" t="str">
            <v>001.28.02020</v>
          </cell>
          <cell r="B1620" t="str">
            <v>Fornecimento e Instalação de Cartucho P/ Conector AMP Vermelho 444504-2</v>
          </cell>
          <cell r="C1620" t="str">
            <v>UN</v>
          </cell>
          <cell r="D1620">
            <v>5.1069000000000004</v>
          </cell>
        </row>
        <row r="1621">
          <cell r="A1621" t="str">
            <v>001.28.02040</v>
          </cell>
          <cell r="B1621" t="str">
            <v>Fornecimento e Instalação de Conector Terminal Tipo Espada P/ Chave Faca - Terminal - 336,4 MCM 34 KV</v>
          </cell>
          <cell r="C1621" t="str">
            <v>UN</v>
          </cell>
          <cell r="D1621">
            <v>32.547699999999999</v>
          </cell>
        </row>
        <row r="1622">
          <cell r="A1622" t="str">
            <v>001.28.02060</v>
          </cell>
          <cell r="B1622" t="str">
            <v>Fornecimento e Instalação de Poste Duplo T 7mts (150 kg), com Engastamento Simples, incl Escavação e Reaterro Apiloado, conf. Normatização Rede Cemat</v>
          </cell>
          <cell r="C1622" t="str">
            <v>UN</v>
          </cell>
          <cell r="D1622">
            <v>243.11</v>
          </cell>
        </row>
        <row r="1623">
          <cell r="A1623" t="str">
            <v>001.28.02080</v>
          </cell>
          <cell r="B1623" t="str">
            <v>Fornecimento e Instalação de Poste Duplo T 9mts (150 kg), com Engastamento Simples, incl Escavação e Reaterro Apiloado, conf. Normatização Rede Cemat</v>
          </cell>
          <cell r="C1623" t="str">
            <v>UN</v>
          </cell>
          <cell r="D1623">
            <v>244.3389</v>
          </cell>
        </row>
        <row r="1624">
          <cell r="A1624" t="str">
            <v>001.28.02100</v>
          </cell>
          <cell r="B1624" t="str">
            <v>Fornecimento e Instalação de Poste Duplo T 10 mts (150 kg), com Engastamento Simples, incl Escavação e Reaterro Apiloado, conf. Normatização Rede Cemat</v>
          </cell>
          <cell r="C1624" t="str">
            <v>UN</v>
          </cell>
          <cell r="D1624">
            <v>255.971</v>
          </cell>
        </row>
        <row r="1625">
          <cell r="A1625" t="str">
            <v>001.28.02120</v>
          </cell>
          <cell r="B1625" t="str">
            <v>Fornecimento e Instalação de Poste Duplo T 11 mts (200 kg), com Engastamento Simples, incl Escavação e Reaterro Apiloado, conf. Normatização Rede Cemat</v>
          </cell>
          <cell r="C1625" t="str">
            <v>UN</v>
          </cell>
          <cell r="D1625">
            <v>498.64550000000003</v>
          </cell>
        </row>
        <row r="1626">
          <cell r="A1626" t="str">
            <v>001.28.02140</v>
          </cell>
          <cell r="B1626" t="str">
            <v>Fornecimento e Instalação de Poste Duplo T 12 mts (300 kg), com Engastamento Simples, incl Escavação e Reaterro Apiloado, conf. Normatização Rede Cemat</v>
          </cell>
          <cell r="C1626" t="str">
            <v>UN</v>
          </cell>
          <cell r="D1626">
            <v>495.43430000000001</v>
          </cell>
        </row>
        <row r="1627">
          <cell r="A1627" t="str">
            <v>001.28.02160</v>
          </cell>
          <cell r="B1627" t="str">
            <v>Fornecimento e Instalação de Poste Duplo T 10mts (300 kg), com Engastamento Reforçado, incl Escavação e Reaterro Apiloado, conf. Normatização Rede Cemat</v>
          </cell>
          <cell r="C1627" t="str">
            <v>UN</v>
          </cell>
          <cell r="D1627">
            <v>423.05829999999997</v>
          </cell>
        </row>
        <row r="1628">
          <cell r="A1628" t="str">
            <v>001.28.02180</v>
          </cell>
          <cell r="B1628" t="str">
            <v>Fornecimento e Instalação de Poste Duplo T 11mts (300 kg), com Engastamento Reforçado, incl Escavação e Reaterro Apiloado, conf. Normatização Rede Cemat</v>
          </cell>
          <cell r="C1628" t="str">
            <v>UN</v>
          </cell>
          <cell r="D1628">
            <v>553.99829999999997</v>
          </cell>
        </row>
        <row r="1629">
          <cell r="A1629" t="str">
            <v>001.28.02200</v>
          </cell>
          <cell r="B1629" t="str">
            <v>Fornecimento e Instalação de Poste Duplo T 10 mts (150 kg), com Engastamento em Solo Cimento, incl Escavação e Reaterro Apiloado, conf. Normatização Rede Cemat</v>
          </cell>
          <cell r="C1629" t="str">
            <v>UN</v>
          </cell>
          <cell r="D1629">
            <v>270.471</v>
          </cell>
        </row>
        <row r="1630">
          <cell r="A1630" t="str">
            <v>001.28.02220</v>
          </cell>
          <cell r="B1630" t="str">
            <v>Fornecimento e Instalação de Poste Duplo T 10 mts (300 kg), com Engastamento em Solo Cimento, incl Escavação e Reaterro Apiloado, conf. Normatização Rede Cemat</v>
          </cell>
          <cell r="C1630" t="str">
            <v>UN</v>
          </cell>
          <cell r="D1630">
            <v>381.78100000000001</v>
          </cell>
        </row>
        <row r="1631">
          <cell r="A1631" t="str">
            <v>001.28.02240</v>
          </cell>
          <cell r="B1631" t="str">
            <v>Fornecimento e Instalação de Poste Duplo T 11 mts (200 kg), com Engastamento em Solo Cimento, incl Escavação e Reaterro Apiloado, conf. Normatização Rede Cemat</v>
          </cell>
          <cell r="C1631" t="str">
            <v>UN</v>
          </cell>
          <cell r="D1631">
            <v>513.14549999999997</v>
          </cell>
        </row>
        <row r="1632">
          <cell r="A1632" t="str">
            <v>001.28.02260</v>
          </cell>
          <cell r="B1632" t="str">
            <v>Fornecimento e Instalação de Poste Duplo T 11 mts (300 kg), com Engastamento em Solo Cimento, incl Escavação e Reaterro Apiloado, conf. Normatização Rede Cemat</v>
          </cell>
          <cell r="C1632" t="str">
            <v>UN</v>
          </cell>
          <cell r="D1632">
            <v>513.34550000000002</v>
          </cell>
        </row>
        <row r="1633">
          <cell r="A1633" t="str">
            <v>001.28.02280</v>
          </cell>
          <cell r="B1633" t="str">
            <v>Fornecimento e Instalação de Poste Duplo T 10 mts (600 kg), com Engastamento em Concreto Fck= 15 Mpa, incl Escavação e Reaterro Apiloado, conf. Normatização Rede Cemat</v>
          </cell>
          <cell r="C1633" t="str">
            <v>UN</v>
          </cell>
          <cell r="D1633">
            <v>540.06359999999995</v>
          </cell>
        </row>
        <row r="1634">
          <cell r="A1634" t="str">
            <v>001.28.02300</v>
          </cell>
          <cell r="B1634" t="str">
            <v>Fornecimento e Instalação de Poste Duplo T 10 mts (1000 kg), com Engastamento em Concreto Fck= 15 Mpa, incl Escavação e Reaterro Apiloado, conf. Normatização Rede Cemat</v>
          </cell>
          <cell r="C1634" t="str">
            <v>UN</v>
          </cell>
          <cell r="D1634">
            <v>647.06359999999995</v>
          </cell>
        </row>
        <row r="1635">
          <cell r="A1635" t="str">
            <v>001.28.02320</v>
          </cell>
          <cell r="B1635" t="str">
            <v>Fornecimento e Instalação de Poste Duplo T 11 mts (600 kg), com Engastamento em Concreto Fck= 15 Mpa, incl Escavação e Reaterro Apiloado, conf. Normatização Rede Cemat</v>
          </cell>
          <cell r="C1635" t="str">
            <v>UN</v>
          </cell>
          <cell r="D1635">
            <v>919.69809999999995</v>
          </cell>
        </row>
        <row r="1636">
          <cell r="A1636" t="str">
            <v>001.28.02340</v>
          </cell>
          <cell r="B1636" t="str">
            <v>Fornecimento e Instalação de Poste Duplo T 11 mts (1000 kg), com Engastamento em Concreto Fck= 15 Mpa, incl Escavação e Reaterro Apiloado, conf. Normatização Rede Cemat</v>
          </cell>
          <cell r="C1636" t="str">
            <v>UN</v>
          </cell>
          <cell r="D1636">
            <v>919.69809999999995</v>
          </cell>
        </row>
        <row r="1637">
          <cell r="A1637" t="str">
            <v>001.28.02360</v>
          </cell>
          <cell r="B1637" t="str">
            <v>Fornecimento e Instalação de Poste Circular 7 mts (150 kg), com Engastamento Simples, incl Escavação e Reaterro Apiloado, conf. Normatização Rede Cemat</v>
          </cell>
          <cell r="C1637" t="str">
            <v>UN</v>
          </cell>
          <cell r="D1637">
            <v>282.3</v>
          </cell>
        </row>
        <row r="1638">
          <cell r="A1638" t="str">
            <v>001.28.02380</v>
          </cell>
          <cell r="B1638" t="str">
            <v>Fornecimento e Instalação de Poste Circular 9 mts (150 kg), com Engastamento Simples, incl Escavação e Reaterro Apiloado, conf. Normatização Rede Cemat</v>
          </cell>
          <cell r="C1638" t="str">
            <v>UN</v>
          </cell>
          <cell r="D1638">
            <v>351.37889999999999</v>
          </cell>
        </row>
        <row r="1639">
          <cell r="A1639" t="str">
            <v>001.28.02400</v>
          </cell>
          <cell r="B1639" t="str">
            <v>Fornecimento e Instalação de Poste Circular 10 mts (150 kg), com Engastamento Simples, incl Escavação e Reaterro Apiloado, conf. Normatização Rede Cemat</v>
          </cell>
          <cell r="C1639" t="str">
            <v>UN</v>
          </cell>
          <cell r="D1639">
            <v>466.02100000000002</v>
          </cell>
        </row>
        <row r="1640">
          <cell r="A1640" t="str">
            <v>001.28.02420</v>
          </cell>
          <cell r="B1640" t="str">
            <v>Fornecimento e Instalação de Poste Circular 11 mts (200 kg), com Engastamento Simples, incl Escavação e Reaterro Apiloado, conf. Normatização Rede Cemat</v>
          </cell>
          <cell r="C1640" t="str">
            <v>UN</v>
          </cell>
          <cell r="D1640">
            <v>487.06549999999999</v>
          </cell>
        </row>
        <row r="1641">
          <cell r="A1641" t="str">
            <v>001.28.02440</v>
          </cell>
          <cell r="B1641" t="str">
            <v>Fornecimento e Instalação de Poste Circular 12 mts (300 kg), com Engastamento Simples, incl Escavação e Reaterro Apiloado, conf. Normatização Rede Cemat</v>
          </cell>
          <cell r="C1641" t="str">
            <v>UN</v>
          </cell>
          <cell r="D1641">
            <v>495.43430000000001</v>
          </cell>
        </row>
        <row r="1642">
          <cell r="A1642" t="str">
            <v>001.28.02460</v>
          </cell>
          <cell r="B1642" t="str">
            <v>Fornecimento e Instalação de Poste Circular 10 mts (300 kg), com Engastamento Reforçado, incl Escavação e Reaterro Apiloado, conf. Normatização Rede Cemat</v>
          </cell>
          <cell r="C1642" t="str">
            <v>UN</v>
          </cell>
          <cell r="D1642">
            <v>566.44830000000002</v>
          </cell>
        </row>
        <row r="1643">
          <cell r="A1643" t="str">
            <v>001.28.02480</v>
          </cell>
          <cell r="B1643" t="str">
            <v>Fornecimento e Instalação de Poste Circular 10 mts (150 kg), com Engastamento em Solo Cimento, incl Escavação e Reaterro Apiloado, conf. Normatização Rede Cemat</v>
          </cell>
          <cell r="C1643" t="str">
            <v>UN</v>
          </cell>
          <cell r="D1643">
            <v>480.52100000000002</v>
          </cell>
        </row>
        <row r="1644">
          <cell r="A1644" t="str">
            <v>001.28.02500</v>
          </cell>
          <cell r="B1644" t="str">
            <v>Fornecimento e Instalação de Poste Circular 10 mts (300 kg), com Engastamento em Solo Cimento, incl Escavação e Reaterro Apiloado, conf. Normatização Rede Cemat</v>
          </cell>
          <cell r="C1644" t="str">
            <v>UN</v>
          </cell>
          <cell r="D1644">
            <v>525.17100000000005</v>
          </cell>
        </row>
        <row r="1645">
          <cell r="A1645" t="str">
            <v>001.28.02520</v>
          </cell>
          <cell r="B1645" t="str">
            <v>Fornecimento e Instalação de Poste Circular 11 mts (200 kg), com Engastamento em Solo Cimento, incl Escavação e Reaterro Apiloado, conf. Normatização Rede Cemat</v>
          </cell>
          <cell r="C1645" t="str">
            <v>UN</v>
          </cell>
          <cell r="D1645">
            <v>501.56549999999999</v>
          </cell>
        </row>
        <row r="1646">
          <cell r="A1646" t="str">
            <v>001.28.02540</v>
          </cell>
          <cell r="B1646" t="str">
            <v>Fornecimento e Instalação de Poste Circular 11 mts (300 kg), com Engastamento em Solo Cimento, incl Escavação e Reaterro Apiloado, conf. Normatização Rede Cemat</v>
          </cell>
          <cell r="C1646" t="str">
            <v>UN</v>
          </cell>
          <cell r="D1646">
            <v>509.5455</v>
          </cell>
        </row>
        <row r="1647">
          <cell r="A1647" t="str">
            <v>001.28.02560</v>
          </cell>
          <cell r="B1647" t="str">
            <v>Fornecimento e Instalação de Poste Circular 10 mts (600 kg), com Engastamento em Concreto Fck= 15 Mpa, incl Escavação e Reaterro Apiloado, conf. Normatização Rede Cemat</v>
          </cell>
          <cell r="C1647" t="str">
            <v>UN</v>
          </cell>
          <cell r="D1647">
            <v>515.21360000000004</v>
          </cell>
        </row>
        <row r="1648">
          <cell r="A1648" t="str">
            <v>001.28.02580</v>
          </cell>
          <cell r="B1648" t="str">
            <v>Fornecimento e Instalação de Poste Circular 10 mts (1000 kg), com Engastamento em Concreto Fck= 15 Mpa, incl Escavação e Reaterro Apiloado, conf. Normatização Rede Cemat</v>
          </cell>
          <cell r="C1648" t="str">
            <v>UN</v>
          </cell>
          <cell r="D1648">
            <v>703.19359999999995</v>
          </cell>
        </row>
        <row r="1649">
          <cell r="A1649" t="str">
            <v>001.28.02600</v>
          </cell>
          <cell r="B1649" t="str">
            <v>Fornecimento e Instalação de Poste Circular 11 mts (600 kg), com Engastamento em Concreto Fck= 15 Mpa, incl Escavação e Reaterro Apiloado, conf. Normatização Rede Cemat</v>
          </cell>
          <cell r="C1649" t="str">
            <v>UN</v>
          </cell>
          <cell r="D1649">
            <v>575.95809999999994</v>
          </cell>
        </row>
        <row r="1650">
          <cell r="A1650" t="str">
            <v>001.28.02620</v>
          </cell>
          <cell r="B1650" t="str">
            <v>Fornecimento e Instalação de Poste Circular 11 mts (1000 kg), com Engastamento em Concreto Fck= 15 Mpa, incl Escavação e Reaterro Apiloado, conf. Normatização Rede Cemat</v>
          </cell>
          <cell r="C1650" t="str">
            <v>UN</v>
          </cell>
          <cell r="D1650">
            <v>988.71810000000005</v>
          </cell>
        </row>
        <row r="1651">
          <cell r="A1651" t="str">
            <v>001.29</v>
          </cell>
          <cell r="B1651" t="str">
            <v>INSTALAÇÕES ELÉTRICAS - SERVIÇOS DE MANUTENÇÃO</v>
          </cell>
        </row>
        <row r="1652">
          <cell r="A1652" t="str">
            <v>001.29.00020</v>
          </cell>
          <cell r="B1652" t="str">
            <v>Revisão em ponto de energia c/ reaperto e substituição de fita isolante</v>
          </cell>
          <cell r="C1652" t="str">
            <v>PT</v>
          </cell>
          <cell r="D1652">
            <v>4.7295999999999996</v>
          </cell>
        </row>
        <row r="1653">
          <cell r="A1653" t="str">
            <v>001.29.00040</v>
          </cell>
          <cell r="B1653" t="str">
            <v>Fornecimento e substituição de espelho (ou placa) p/ tomada e/ou interruptor 4""""""""""""""""""""""""""""""""x2""""""""""""""""""""""""""""""""</v>
          </cell>
          <cell r="C1653" t="str">
            <v>UN</v>
          </cell>
          <cell r="D1653">
            <v>1.5751999999999999</v>
          </cell>
        </row>
        <row r="1654">
          <cell r="A1654" t="str">
            <v>001.29.00060</v>
          </cell>
          <cell r="B1654" t="str">
            <v>Fornecimento e substituição de espelho (ou placa) p/ tomada e/ou interruptor 4""""""""""""""""""""""""""""""""x4""""""""""""""""""""""""""""""""</v>
          </cell>
          <cell r="C1654" t="str">
            <v>UN</v>
          </cell>
          <cell r="D1654">
            <v>2.9051999999999998</v>
          </cell>
        </row>
        <row r="1655">
          <cell r="A1655" t="str">
            <v>001.29.00080</v>
          </cell>
          <cell r="B1655" t="str">
            <v>Fornecimento e substituição de tomada simples universal com espelho</v>
          </cell>
          <cell r="C1655" t="str">
            <v>UN</v>
          </cell>
          <cell r="D1655">
            <v>6.0091000000000001</v>
          </cell>
        </row>
        <row r="1656">
          <cell r="A1656" t="str">
            <v>001.29.00100</v>
          </cell>
          <cell r="B1656" t="str">
            <v>Fornecimento e substituição de interruptor c/ uma tecla simples c/ espelho</v>
          </cell>
          <cell r="C1656" t="str">
            <v>UN</v>
          </cell>
          <cell r="D1656">
            <v>6.4090999999999996</v>
          </cell>
        </row>
        <row r="1657">
          <cell r="A1657" t="str">
            <v>001.29.00120</v>
          </cell>
          <cell r="B1657" t="str">
            <v>Fornecimento e substituição de interruptor c/ duas teclas simples c/ espelho</v>
          </cell>
          <cell r="C1657" t="str">
            <v>UN</v>
          </cell>
          <cell r="D1657">
            <v>7.8620999999999999</v>
          </cell>
        </row>
        <row r="1658">
          <cell r="A1658" t="str">
            <v>001.29.00140</v>
          </cell>
          <cell r="B1658" t="str">
            <v>Forencimento e substituição de interruptor c/ tres teclas simples c/ espelho</v>
          </cell>
          <cell r="C1658" t="str">
            <v>UN</v>
          </cell>
          <cell r="D1658">
            <v>13.9367</v>
          </cell>
        </row>
        <row r="1659">
          <cell r="A1659" t="str">
            <v>001.29.00160</v>
          </cell>
          <cell r="B1659" t="str">
            <v>Fornecimento e substituição de interruptor c/ uma tecla paralela e espelho</v>
          </cell>
          <cell r="C1659" t="str">
            <v>UN</v>
          </cell>
          <cell r="D1659">
            <v>13.6784</v>
          </cell>
        </row>
        <row r="1660">
          <cell r="A1660" t="str">
            <v>001.29.00180</v>
          </cell>
          <cell r="B1660" t="str">
            <v>Fornecimento e substituição de reator simples a.f.p./p.r. - 1x20 w</v>
          </cell>
          <cell r="C1660" t="str">
            <v>UN</v>
          </cell>
          <cell r="D1660">
            <v>24.1907</v>
          </cell>
        </row>
        <row r="1661">
          <cell r="A1661" t="str">
            <v>001.29.00200</v>
          </cell>
          <cell r="B1661" t="str">
            <v>Fornecimento e substituição de reator simples a.f.p./p.r. - 1x40 w</v>
          </cell>
          <cell r="C1661" t="str">
            <v>UN</v>
          </cell>
          <cell r="D1661">
            <v>34.1907</v>
          </cell>
        </row>
        <row r="1662">
          <cell r="A1662" t="str">
            <v>001.29.00220</v>
          </cell>
          <cell r="B1662" t="str">
            <v>Fornecimento e substituição de reator duplo a.f.p./p.r. - 2x20 w</v>
          </cell>
          <cell r="C1662" t="str">
            <v>UN</v>
          </cell>
          <cell r="D1662">
            <v>34.794499999999999</v>
          </cell>
        </row>
        <row r="1663">
          <cell r="A1663" t="str">
            <v>001.29.00240</v>
          </cell>
          <cell r="B1663" t="str">
            <v>Fornecimento e substituição de reator duplo a.f.p./p.r. - 2x40 w</v>
          </cell>
          <cell r="C1663" t="str">
            <v>UN</v>
          </cell>
          <cell r="D1663">
            <v>34.794499999999999</v>
          </cell>
        </row>
        <row r="1664">
          <cell r="A1664" t="str">
            <v>001.29.00260</v>
          </cell>
          <cell r="B1664" t="str">
            <v>Fornecimento e substituição de lâmpada incandescente de 60 w</v>
          </cell>
          <cell r="C1664" t="str">
            <v>UN</v>
          </cell>
          <cell r="D1664">
            <v>1.8738999999999999</v>
          </cell>
        </row>
        <row r="1665">
          <cell r="A1665" t="str">
            <v>001.29.00280</v>
          </cell>
          <cell r="B1665" t="str">
            <v>Fornecimento e substituição de lâmpada incandescente de 100 w</v>
          </cell>
          <cell r="C1665" t="str">
            <v>UN</v>
          </cell>
          <cell r="D1665">
            <v>2.2139000000000002</v>
          </cell>
        </row>
        <row r="1666">
          <cell r="A1666" t="str">
            <v>001.29.00300</v>
          </cell>
          <cell r="B1666" t="str">
            <v>Fornecimento e substituição de lâmpada fluorescente de 20 w</v>
          </cell>
          <cell r="C1666" t="str">
            <v>UN</v>
          </cell>
          <cell r="D1666">
            <v>4.0038999999999998</v>
          </cell>
        </row>
        <row r="1667">
          <cell r="A1667" t="str">
            <v>001.29.00320</v>
          </cell>
          <cell r="B1667" t="str">
            <v>Fornecimento e substituição de lâmpada fluorescente de 40 w</v>
          </cell>
          <cell r="C1667" t="str">
            <v>UN</v>
          </cell>
          <cell r="D1667">
            <v>4.0038999999999998</v>
          </cell>
        </row>
        <row r="1668">
          <cell r="A1668" t="str">
            <v>001.29.00340</v>
          </cell>
          <cell r="B1668" t="str">
            <v>Fornecimento e substituição de disjuntor monopolar de 15 a</v>
          </cell>
          <cell r="C1668" t="str">
            <v>UN</v>
          </cell>
          <cell r="D1668">
            <v>8.6952999999999996</v>
          </cell>
        </row>
        <row r="1669">
          <cell r="A1669" t="str">
            <v>001.29.00360</v>
          </cell>
          <cell r="B1669" t="str">
            <v>Fornecimento e substituição de disjuntor monopolar de 20 a</v>
          </cell>
          <cell r="C1669" t="str">
            <v>UN</v>
          </cell>
          <cell r="D1669">
            <v>8.6952999999999996</v>
          </cell>
        </row>
        <row r="1670">
          <cell r="A1670" t="str">
            <v>001.29.00380</v>
          </cell>
          <cell r="B1670" t="str">
            <v>Fornecimento e substituição de disjuntor monopolar de 30 a</v>
          </cell>
          <cell r="C1670" t="str">
            <v>UN</v>
          </cell>
          <cell r="D1670">
            <v>8.6952999999999996</v>
          </cell>
        </row>
        <row r="1671">
          <cell r="A1671" t="str">
            <v>001.29.00400</v>
          </cell>
          <cell r="B1671" t="str">
            <v>Fornecimento e substituição de disjuntor monopolar de 40 a</v>
          </cell>
          <cell r="C1671" t="str">
            <v>UN</v>
          </cell>
          <cell r="D1671">
            <v>10.5953</v>
          </cell>
        </row>
        <row r="1672">
          <cell r="A1672" t="str">
            <v>001.29.00420</v>
          </cell>
          <cell r="B1672" t="str">
            <v>Fornecimento e substituição de disjuntor monopolar de 50 a</v>
          </cell>
          <cell r="C1672" t="str">
            <v>UN</v>
          </cell>
          <cell r="D1672">
            <v>10.5953</v>
          </cell>
        </row>
        <row r="1673">
          <cell r="A1673" t="str">
            <v>001.29.00440</v>
          </cell>
          <cell r="B1673" t="str">
            <v>Fornecimento e substituição de disjuntor bipolar de 15 a</v>
          </cell>
          <cell r="C1673" t="str">
            <v>UN</v>
          </cell>
          <cell r="D1673">
            <v>34.9407</v>
          </cell>
        </row>
        <row r="1674">
          <cell r="A1674" t="str">
            <v>001.29.00460</v>
          </cell>
          <cell r="B1674" t="str">
            <v>Fornecimento e substituição de disjuntor bipolar de 20 a</v>
          </cell>
          <cell r="C1674" t="str">
            <v>UN</v>
          </cell>
          <cell r="D1674">
            <v>34.9407</v>
          </cell>
        </row>
        <row r="1675">
          <cell r="A1675" t="str">
            <v>001.29.00480</v>
          </cell>
          <cell r="B1675" t="str">
            <v>Fornecimento e substituição de disjuntor bipolar de 30 a</v>
          </cell>
          <cell r="C1675" t="str">
            <v>UN</v>
          </cell>
          <cell r="D1675">
            <v>34.9407</v>
          </cell>
        </row>
        <row r="1676">
          <cell r="A1676" t="str">
            <v>001.29.00500</v>
          </cell>
          <cell r="B1676" t="str">
            <v>Fornecimento e substituição de disjuntor bipolar de 40 a</v>
          </cell>
          <cell r="C1676" t="str">
            <v>UN</v>
          </cell>
          <cell r="D1676">
            <v>34.9407</v>
          </cell>
        </row>
        <row r="1677">
          <cell r="A1677" t="str">
            <v>001.29.00520</v>
          </cell>
          <cell r="B1677" t="str">
            <v>Fornecimento e substituição de disjuntor bipolar de 50 a</v>
          </cell>
          <cell r="C1677" t="str">
            <v>UN</v>
          </cell>
          <cell r="D1677">
            <v>34.9407</v>
          </cell>
        </row>
        <row r="1678">
          <cell r="A1678" t="str">
            <v>001.29.00540</v>
          </cell>
          <cell r="B1678" t="str">
            <v>Fornecimento e substituição de disjuntor tripolar de 15 a</v>
          </cell>
          <cell r="C1678" t="str">
            <v>UN</v>
          </cell>
          <cell r="D1678">
            <v>36.662300000000002</v>
          </cell>
        </row>
        <row r="1679">
          <cell r="A1679" t="str">
            <v>001.29.00560</v>
          </cell>
          <cell r="B1679" t="str">
            <v>Fornecimento e substituição de disjuntor tripolar de 20 a</v>
          </cell>
          <cell r="C1679" t="str">
            <v>UN</v>
          </cell>
          <cell r="D1679">
            <v>36.662300000000002</v>
          </cell>
        </row>
        <row r="1680">
          <cell r="A1680" t="str">
            <v>001.29.00580</v>
          </cell>
          <cell r="B1680" t="str">
            <v>Fornecimento e substituição de disjuntor tripolar de 30 a</v>
          </cell>
          <cell r="C1680" t="str">
            <v>UN</v>
          </cell>
          <cell r="D1680">
            <v>35.638399999999997</v>
          </cell>
        </row>
        <row r="1681">
          <cell r="A1681" t="str">
            <v>001.29.00600</v>
          </cell>
          <cell r="B1681" t="str">
            <v>Fornecimento e substituição de disjuntor tripolar de 40 a</v>
          </cell>
          <cell r="C1681" t="str">
            <v>UN</v>
          </cell>
          <cell r="D1681">
            <v>36.662300000000002</v>
          </cell>
        </row>
        <row r="1682">
          <cell r="A1682" t="str">
            <v>001.29.00620</v>
          </cell>
          <cell r="B1682" t="str">
            <v>Fornecimento e substituição de disjuntor tripolar de 50 a</v>
          </cell>
          <cell r="C1682" t="str">
            <v>UN</v>
          </cell>
          <cell r="D1682">
            <v>36.662300000000002</v>
          </cell>
        </row>
        <row r="1683">
          <cell r="A1683" t="str">
            <v>001.29.00640</v>
          </cell>
          <cell r="B1683" t="str">
            <v>Fornecimento e substituição de disjuntor tripolar de 70 a</v>
          </cell>
          <cell r="C1683" t="str">
            <v>UN</v>
          </cell>
          <cell r="D1683">
            <v>44.762300000000003</v>
          </cell>
        </row>
        <row r="1684">
          <cell r="A1684" t="str">
            <v>001.29.00660</v>
          </cell>
          <cell r="B1684" t="str">
            <v>Fornecimento e substituição de disjuntor tripolar de 90 a</v>
          </cell>
          <cell r="C1684" t="str">
            <v>UN</v>
          </cell>
          <cell r="D1684">
            <v>44.762300000000003</v>
          </cell>
        </row>
        <row r="1685">
          <cell r="A1685" t="str">
            <v>001.29.00680</v>
          </cell>
          <cell r="B1685" t="str">
            <v>Fornecimento e substituição de disjuntor tripolar de 100 a</v>
          </cell>
          <cell r="C1685" t="str">
            <v>UN</v>
          </cell>
          <cell r="D1685">
            <v>44.762300000000003</v>
          </cell>
        </row>
        <row r="1686">
          <cell r="A1686" t="str">
            <v>001.30</v>
          </cell>
          <cell r="B1686" t="str">
            <v>INSTALAÇÕES HIDRÁULICAS - PRELIMINARES</v>
          </cell>
        </row>
        <row r="1687">
          <cell r="A1687" t="str">
            <v>001.30.00020</v>
          </cell>
          <cell r="B1687" t="str">
            <v>Abertura e enchimento de rasgos na alvenaria para passagem de canalização diâmetro 1/2 à 1 pol</v>
          </cell>
          <cell r="C1687" t="str">
            <v>ML</v>
          </cell>
          <cell r="D1687">
            <v>2.0659999999999998</v>
          </cell>
        </row>
        <row r="1688">
          <cell r="A1688" t="str">
            <v>001.30.00040</v>
          </cell>
          <cell r="B1688" t="str">
            <v>Abertura e enchimento de rasgos na alvenaria para passagem de canalização diâmetro 1 1/4 à 2 pol</v>
          </cell>
          <cell r="C1688" t="str">
            <v>ML</v>
          </cell>
          <cell r="D1688">
            <v>2.7524000000000002</v>
          </cell>
        </row>
        <row r="1689">
          <cell r="A1689" t="str">
            <v>001.30.00060</v>
          </cell>
          <cell r="B1689" t="str">
            <v>Abertura e enchimento de rasgos na alvenaria para passagem de canalização diâmetro 2.5 à 4 pol</v>
          </cell>
          <cell r="C1689" t="str">
            <v>ML</v>
          </cell>
          <cell r="D1689">
            <v>3.8664999999999998</v>
          </cell>
        </row>
        <row r="1690">
          <cell r="A1690" t="str">
            <v>001.30.00080</v>
          </cell>
          <cell r="B1690" t="str">
            <v>Abertura e enchimento de rasgos no concreto para passagem de canalização diâmetro de 1/2 à 1 pol</v>
          </cell>
          <cell r="C1690" t="str">
            <v>ML</v>
          </cell>
          <cell r="D1690">
            <v>4.5274000000000001</v>
          </cell>
        </row>
        <row r="1691">
          <cell r="A1691" t="str">
            <v>001.30.00100</v>
          </cell>
          <cell r="B1691" t="str">
            <v>Fornecimento e Instalação de Caixa de Água de PVC, Incl Tampa, de 500 litros</v>
          </cell>
          <cell r="C1691" t="str">
            <v>UN</v>
          </cell>
          <cell r="D1691">
            <v>149.15940000000001</v>
          </cell>
        </row>
        <row r="1692">
          <cell r="A1692" t="str">
            <v>001.30.00120</v>
          </cell>
          <cell r="B1692" t="str">
            <v>Fornecimento e Instalação de Caixa de Água de PVC, Incl Tampa, de 1000 litros</v>
          </cell>
          <cell r="C1692" t="str">
            <v>UN</v>
          </cell>
          <cell r="D1692">
            <v>248.32939999999999</v>
          </cell>
        </row>
        <row r="1693">
          <cell r="A1693" t="str">
            <v>001.30.00140</v>
          </cell>
          <cell r="B1693" t="str">
            <v>Execução de Cisterna em Concreto Armado 10.000 lts, Dim. Compr.= 4.20 mts, Larg.= 2.70 mts, Prof.= 1.40 mts, Sendo Impremebilizada Internamente Com Imperm. Cristaliz., Chapisc. Com Aditivo de Alto Desempenho, e Argamassa Com Impermeab. Conf. Det. SINFRA</v>
          </cell>
          <cell r="C1693" t="str">
            <v>UN</v>
          </cell>
          <cell r="D1693">
            <v>3193.7806999999998</v>
          </cell>
        </row>
        <row r="1694">
          <cell r="A1694" t="str">
            <v>001.30.00160</v>
          </cell>
          <cell r="B1694" t="str">
            <v>Fornecimento e instalação de bóia interna tipo (são paulo) p/ caixa de água  amarelo bruto n.1350 marca deca 1/2 pol</v>
          </cell>
          <cell r="C1694" t="str">
            <v>UN</v>
          </cell>
          <cell r="D1694">
            <v>31.144500000000001</v>
          </cell>
        </row>
        <row r="1695">
          <cell r="A1695" t="str">
            <v>001.30.00180</v>
          </cell>
          <cell r="B1695" t="str">
            <v>Fornecimento e instalação de bóia interna tipo (são paulo) p/ caixa de água  amarelo bruto n.1350 marca deca 3/4 pol</v>
          </cell>
          <cell r="C1695" t="str">
            <v>UN</v>
          </cell>
          <cell r="D1695">
            <v>32.7545</v>
          </cell>
        </row>
        <row r="1696">
          <cell r="A1696" t="str">
            <v>001.30.00200</v>
          </cell>
          <cell r="B1696" t="str">
            <v>Fornecimento e instalação de bóia interna tipo (são paulo) p/ caixa de água  amarelo bruto n.1350 marca deca 1 pol</v>
          </cell>
          <cell r="C1696" t="str">
            <v>UN</v>
          </cell>
          <cell r="D1696">
            <v>42.686700000000002</v>
          </cell>
        </row>
        <row r="1697">
          <cell r="A1697" t="str">
            <v>001.30.00220</v>
          </cell>
          <cell r="B1697" t="str">
            <v>Fornecimento e instalação de bóia interna tipo (são paulo) p/ caixa de água  amarelo bruto n.1350 marca deca 1 1/4 pol</v>
          </cell>
          <cell r="C1697" t="str">
            <v>UN</v>
          </cell>
          <cell r="D1697">
            <v>57.580399999999997</v>
          </cell>
        </row>
        <row r="1698">
          <cell r="A1698" t="str">
            <v>001.30.00240</v>
          </cell>
          <cell r="B1698" t="str">
            <v>Fornecimento e instalação de bóia interna tipo (são paulo) p/ caixa de água  amarelo bruto n.1350 marca deca 1 1/2 pol</v>
          </cell>
          <cell r="C1698" t="str">
            <v>UN</v>
          </cell>
          <cell r="D1698">
            <v>72.705600000000004</v>
          </cell>
        </row>
        <row r="1699">
          <cell r="A1699" t="str">
            <v>001.30.00260</v>
          </cell>
          <cell r="B1699" t="str">
            <v>Fornecimento e instalação de bóia interna tipo (são paulo) p/ caixa de água  amarelo bruto n.1350 marca deca 2 pol</v>
          </cell>
          <cell r="C1699" t="str">
            <v>UN</v>
          </cell>
          <cell r="D1699">
            <v>85.890799999999999</v>
          </cell>
        </row>
        <row r="1700">
          <cell r="A1700" t="str">
            <v>001.30.00280</v>
          </cell>
          <cell r="B1700" t="str">
            <v>Fornecimento e Instalação de Torneira Bóia p/ Caixa de Água em PVC  3/4 pol</v>
          </cell>
          <cell r="C1700" t="str">
            <v>UN</v>
          </cell>
          <cell r="D1700">
            <v>5.4844999999999997</v>
          </cell>
        </row>
        <row r="1701">
          <cell r="A1701" t="str">
            <v>001.30.00300</v>
          </cell>
          <cell r="B1701" t="str">
            <v>Fornecimento e Instalação de Torneira Bóia p/ Caixa de Água em PVC  1/2 pol</v>
          </cell>
          <cell r="C1701" t="str">
            <v>UN</v>
          </cell>
          <cell r="D1701">
            <v>5.7945000000000002</v>
          </cell>
        </row>
        <row r="1702">
          <cell r="A1702" t="str">
            <v>001.31</v>
          </cell>
          <cell r="B1702" t="str">
            <v>INSTALAÇÕES HIDRÁULICAS - PVC SOLDÁVEL/ROSCÁVEL MARROM</v>
          </cell>
        </row>
        <row r="1703">
          <cell r="A1703" t="str">
            <v>001.31.00020</v>
          </cell>
          <cell r="B1703" t="str">
            <v>Fornecimento e Instalação de Tubo de PVC Rígido Sodável Marrom em Barra de 6 m Diâmetro 20mm (1/2) pol</v>
          </cell>
          <cell r="C1703" t="str">
            <v>M</v>
          </cell>
          <cell r="D1703">
            <v>2.1619999999999999</v>
          </cell>
        </row>
        <row r="1704">
          <cell r="A1704" t="str">
            <v>001.31.00040</v>
          </cell>
          <cell r="B1704" t="str">
            <v>Fornecimento e Instalação de Tubo de PVC Rígido Sodável Marrom em Barra de 6 m Diâmetro 25mm (3/4) pol</v>
          </cell>
          <cell r="C1704" t="str">
            <v>M</v>
          </cell>
          <cell r="D1704">
            <v>2.4666000000000001</v>
          </cell>
        </row>
        <row r="1705">
          <cell r="A1705" t="str">
            <v>001.31.00060</v>
          </cell>
          <cell r="B1705" t="str">
            <v>Fornecimento e Instalação de Tubo de PVC Rígido Sodável Marrom em Barra de 6 m Diâmetro 32mm (1) pol</v>
          </cell>
          <cell r="C1705" t="str">
            <v>M</v>
          </cell>
          <cell r="D1705">
            <v>3.9767999999999999</v>
          </cell>
        </row>
        <row r="1706">
          <cell r="A1706" t="str">
            <v>001.31.00080</v>
          </cell>
          <cell r="B1706" t="str">
            <v>Fornecimento e Instalação de Tubo de PVC Rígido Sodável Marrom em Barra de 6 m Diâmetro 40mm (1.1/4) pol</v>
          </cell>
          <cell r="C1706" t="str">
            <v>M</v>
          </cell>
          <cell r="D1706">
            <v>5.1802999999999999</v>
          </cell>
        </row>
        <row r="1707">
          <cell r="A1707" t="str">
            <v>001.31.00100</v>
          </cell>
          <cell r="B1707" t="str">
            <v>Fornecimento e Instalação de Tubo de PVC Rígido Sodável Marrom em Barra de 6 m Diâmetro 50mm (1.5) pol</v>
          </cell>
          <cell r="C1707" t="str">
            <v>M</v>
          </cell>
          <cell r="D1707">
            <v>7.6387</v>
          </cell>
        </row>
        <row r="1708">
          <cell r="A1708" t="str">
            <v>001.31.00120</v>
          </cell>
          <cell r="B1708" t="str">
            <v>Fornecimento e Instalação de Tubo de PVC Rígido Sodável Marrom em Barra de 6 m Diâmetro 60mm (2) pl</v>
          </cell>
          <cell r="C1708" t="str">
            <v>M</v>
          </cell>
          <cell r="D1708">
            <v>9.6057000000000006</v>
          </cell>
        </row>
        <row r="1709">
          <cell r="A1709" t="str">
            <v>001.31.00140</v>
          </cell>
          <cell r="B1709" t="str">
            <v>Fornecimento e Instalação de Tubo de PVC Rígido Sodável Marrom em Barra de 6 m Diâmetro  75mm (2.5) pol</v>
          </cell>
          <cell r="C1709" t="str">
            <v>M</v>
          </cell>
          <cell r="D1709">
            <v>15.049899999999999</v>
          </cell>
        </row>
        <row r="1710">
          <cell r="A1710" t="str">
            <v>001.31.00160</v>
          </cell>
          <cell r="B1710" t="str">
            <v>Fornecimento e Instalação de Tubo de PVC Rígido Sodável Marrom em Barra de 6 m Diâmetro  85mm (3) pol</v>
          </cell>
          <cell r="C1710" t="str">
            <v>M</v>
          </cell>
          <cell r="D1710">
            <v>19.071300000000001</v>
          </cell>
        </row>
        <row r="1711">
          <cell r="A1711" t="str">
            <v>001.31.00180</v>
          </cell>
          <cell r="B1711" t="str">
            <v>Fornecimento e Instalação de Tubo de PVC Rígido Sodável Marrom em Barra de 6 m Diâmetro 110mm (4) pol</v>
          </cell>
          <cell r="C1711" t="str">
            <v>M</v>
          </cell>
          <cell r="D1711">
            <v>30.998200000000001</v>
          </cell>
        </row>
        <row r="1712">
          <cell r="A1712" t="str">
            <v>001.31.00200</v>
          </cell>
          <cell r="B1712" t="str">
            <v>Fornecimento e Instalação de Curva de 90º de PVC Rígido para Tubo Soldável  20mm (1/2 pol)</v>
          </cell>
          <cell r="C1712" t="str">
            <v>UN</v>
          </cell>
          <cell r="D1712">
            <v>2.6505999999999998</v>
          </cell>
        </row>
        <row r="1713">
          <cell r="A1713" t="str">
            <v>001.31.00220</v>
          </cell>
          <cell r="B1713" t="str">
            <v>Fornecimento e Instalação de Curva de 90º de PVC Rígido para Tubo Soldável 25mm (3/4 pol)</v>
          </cell>
          <cell r="C1713" t="str">
            <v>UN</v>
          </cell>
          <cell r="D1713">
            <v>3.0406</v>
          </cell>
        </row>
        <row r="1714">
          <cell r="A1714" t="str">
            <v>001.31.00240</v>
          </cell>
          <cell r="B1714" t="str">
            <v>Fornecimento e Instalação de Curva de 90º de PVC Rígido para Tubo Soldável 32mm (1 pol)</v>
          </cell>
          <cell r="C1714" t="str">
            <v>UN</v>
          </cell>
          <cell r="D1714">
            <v>5.0406000000000004</v>
          </cell>
        </row>
        <row r="1715">
          <cell r="A1715" t="str">
            <v>001.31.00260</v>
          </cell>
          <cell r="B1715" t="str">
            <v>Fornecimento e Instalação de Curva de 90º de PVC Rígido para Tubo Soldável 40mm (1 1/4 pol)</v>
          </cell>
          <cell r="C1715" t="str">
            <v>UN</v>
          </cell>
          <cell r="D1715">
            <v>8.4875000000000007</v>
          </cell>
        </row>
        <row r="1716">
          <cell r="A1716" t="str">
            <v>001.31.00280</v>
          </cell>
          <cell r="B1716" t="str">
            <v>Fornecimento e Instalação de Curva de 90º de PVC Rígido para Tubo Soldável 50mm (1 1/2 pol)</v>
          </cell>
          <cell r="C1716" t="str">
            <v>UN</v>
          </cell>
          <cell r="D1716">
            <v>10.3775</v>
          </cell>
        </row>
        <row r="1717">
          <cell r="A1717" t="str">
            <v>001.31.00300</v>
          </cell>
          <cell r="B1717" t="str">
            <v>Fornecimento e Instalação de Curva de 90º de PVC Rígido para Tubo Soldável  60mm (2 pol)</v>
          </cell>
          <cell r="C1717" t="str">
            <v>UN</v>
          </cell>
          <cell r="D1717">
            <v>20.737500000000001</v>
          </cell>
        </row>
        <row r="1718">
          <cell r="A1718" t="str">
            <v>001.31.00320</v>
          </cell>
          <cell r="B1718" t="str">
            <v>Fornecimento e Instalação de Curva de 90º de PVC Rígido para Tubo Soldável 75mm (21/2 pol)</v>
          </cell>
          <cell r="C1718" t="str">
            <v>UN</v>
          </cell>
          <cell r="D1718">
            <v>48.488900000000001</v>
          </cell>
        </row>
        <row r="1719">
          <cell r="A1719" t="str">
            <v>001.31.00340</v>
          </cell>
          <cell r="B1719" t="str">
            <v>Fornecimento e Instalação de Curva de 90º de PVC Rígido para Tubo Soldável 85mm ( 3 pol )</v>
          </cell>
          <cell r="C1719" t="str">
            <v>UN</v>
          </cell>
          <cell r="D1719">
            <v>61.4589</v>
          </cell>
        </row>
        <row r="1720">
          <cell r="A1720" t="str">
            <v>001.31.00360</v>
          </cell>
          <cell r="B1720" t="str">
            <v>Fornecimento e Instalação de Curva de 90º de PVC Rígido para Tubo Soldável 110mm ( 4 pol )</v>
          </cell>
          <cell r="C1720" t="str">
            <v>UN</v>
          </cell>
          <cell r="D1720">
            <v>71.477699999999999</v>
          </cell>
        </row>
        <row r="1721">
          <cell r="A1721" t="str">
            <v>001.31.00380</v>
          </cell>
          <cell r="B1721" t="str">
            <v>Fornecimento e Instalação de Curva de 45º de PVC Rígido para Tubo Soldável 20mm ( 1/2  pol )</v>
          </cell>
          <cell r="C1721" t="str">
            <v>UN</v>
          </cell>
          <cell r="D1721">
            <v>2.3506</v>
          </cell>
        </row>
        <row r="1722">
          <cell r="A1722" t="str">
            <v>001.31.00400</v>
          </cell>
          <cell r="B1722" t="str">
            <v>Fornecimento e Instalação de Curva de 45º de PVC Rígido para Tubo Soldável 25mm ( 3/4  pol )</v>
          </cell>
          <cell r="C1722" t="str">
            <v>UN</v>
          </cell>
          <cell r="D1722">
            <v>2.5706000000000002</v>
          </cell>
        </row>
        <row r="1723">
          <cell r="A1723" t="str">
            <v>001.31.00420</v>
          </cell>
          <cell r="B1723" t="str">
            <v>Fornecimento e Instalação de Curva de 45º de PVC Rígido para Tubo Soldável 32mm ( 1  pol )</v>
          </cell>
          <cell r="C1723" t="str">
            <v>UN</v>
          </cell>
          <cell r="D1723">
            <v>3.2706</v>
          </cell>
        </row>
        <row r="1724">
          <cell r="A1724" t="str">
            <v>001.31.00440</v>
          </cell>
          <cell r="B1724" t="str">
            <v>Fornecimento e Instalação de Curva de 45º de PVC Rígido para Tubo Soldável 40mm ( 1 1/4  pol )</v>
          </cell>
          <cell r="C1724" t="str">
            <v>UN</v>
          </cell>
          <cell r="D1724">
            <v>5.2175000000000002</v>
          </cell>
        </row>
        <row r="1725">
          <cell r="A1725" t="str">
            <v>001.31.00460</v>
          </cell>
          <cell r="B1725" t="str">
            <v>Fornecimento e Instalação de Curva de 45º de PVC Rígido para Tubo Soldável 50mm ( 1 1/2  pol )</v>
          </cell>
          <cell r="C1725" t="str">
            <v>UN</v>
          </cell>
          <cell r="D1725">
            <v>7.9074999999999998</v>
          </cell>
        </row>
        <row r="1726">
          <cell r="A1726" t="str">
            <v>001.31.00480</v>
          </cell>
          <cell r="B1726" t="str">
            <v>Fornecimento e Instalação de Curva de 45º de PVC Rígido para Tubo Soldável 60mm ( 2  pol )</v>
          </cell>
          <cell r="C1726" t="str">
            <v>UN</v>
          </cell>
          <cell r="D1726">
            <v>12.1075</v>
          </cell>
        </row>
        <row r="1727">
          <cell r="A1727" t="str">
            <v>001.31.00500</v>
          </cell>
          <cell r="B1727" t="str">
            <v>Fornecimento e Instalação de Curva de 45º de PVC Rígido para Tubo Soldável 75mm ( 2 1/2 pol )</v>
          </cell>
          <cell r="C1727" t="str">
            <v>UN</v>
          </cell>
          <cell r="D1727">
            <v>26.0289</v>
          </cell>
        </row>
        <row r="1728">
          <cell r="A1728" t="str">
            <v>001.31.00520</v>
          </cell>
          <cell r="B1728" t="str">
            <v>Fornecimento e Instalação de Curva de 45º de PVC Rígido para Tubo Soldável 85mm ( 3 pol )</v>
          </cell>
          <cell r="C1728" t="str">
            <v>UN</v>
          </cell>
          <cell r="D1728">
            <v>31.158899999999999</v>
          </cell>
        </row>
        <row r="1729">
          <cell r="A1729" t="str">
            <v>001.31.00540</v>
          </cell>
          <cell r="B1729" t="str">
            <v>Fornecimento e Instalação de Curva de 45º de PVC Rígido para Tubo Soldável 110mm ( 4 pol )</v>
          </cell>
          <cell r="C1729" t="str">
            <v>UN</v>
          </cell>
          <cell r="D1729">
            <v>61.317700000000002</v>
          </cell>
        </row>
        <row r="1730">
          <cell r="A1730" t="str">
            <v>001.31.00560</v>
          </cell>
          <cell r="B1730" t="str">
            <v>Fornecimento e Instalação de Luva de PVC Rígido para Tubo Soldável 20mm ( 1/2 pol )</v>
          </cell>
          <cell r="C1730" t="str">
            <v>UN</v>
          </cell>
          <cell r="D1730">
            <v>1.7305999999999999</v>
          </cell>
        </row>
        <row r="1731">
          <cell r="A1731" t="str">
            <v>001.31.00580</v>
          </cell>
          <cell r="B1731" t="str">
            <v>Fornecimento e Instalação de Luva de PVC Rígido para Tubo Soldável  25mm ( 3/4 pol )</v>
          </cell>
          <cell r="C1731" t="str">
            <v>UN</v>
          </cell>
          <cell r="D1731">
            <v>1.7806</v>
          </cell>
        </row>
        <row r="1732">
          <cell r="A1732" t="str">
            <v>001.31.00600</v>
          </cell>
          <cell r="B1732" t="str">
            <v>Fornecimento e Instalação de Luva de PVC Rígido para Tubo Soldável  32mm ( 1 pol )</v>
          </cell>
          <cell r="C1732" t="str">
            <v>UN</v>
          </cell>
          <cell r="D1732">
            <v>2.3506</v>
          </cell>
        </row>
        <row r="1733">
          <cell r="A1733" t="str">
            <v>001.31.00620</v>
          </cell>
          <cell r="B1733" t="str">
            <v>Fornecimento e Instalação de Luva de PVC Rígido para Tubo Soldável 40mm ( 1 1/4pol )</v>
          </cell>
          <cell r="C1733" t="str">
            <v>UN</v>
          </cell>
          <cell r="D1733">
            <v>4.0575000000000001</v>
          </cell>
        </row>
        <row r="1734">
          <cell r="A1734" t="str">
            <v>001.31.00640</v>
          </cell>
          <cell r="B1734" t="str">
            <v>Fornecimento e Instalação de Luva de PVC Rígido para Tubo Soldável 50mm ( 1 1/2 pol )</v>
          </cell>
          <cell r="C1734" t="str">
            <v>UN</v>
          </cell>
          <cell r="D1734">
            <v>4.8475000000000001</v>
          </cell>
        </row>
        <row r="1735">
          <cell r="A1735" t="str">
            <v>001.31.00660</v>
          </cell>
          <cell r="B1735" t="str">
            <v>Fornecimento e Instalação de Luva de PVC Rígido para Tubo Soldável  60mm ( 2 pol )</v>
          </cell>
          <cell r="C1735" t="str">
            <v>UN</v>
          </cell>
          <cell r="D1735">
            <v>8.8674999999999997</v>
          </cell>
        </row>
        <row r="1736">
          <cell r="A1736" t="str">
            <v>001.31.00680</v>
          </cell>
          <cell r="B1736" t="str">
            <v>Fornecimento e Instalação de Luva de PVC Rígido para Tubo Soldável  75mm ( 2 1/2 pol )</v>
          </cell>
          <cell r="C1736" t="str">
            <v>UN</v>
          </cell>
          <cell r="D1736">
            <v>14.0189</v>
          </cell>
        </row>
        <row r="1737">
          <cell r="A1737" t="str">
            <v>001.31.00700</v>
          </cell>
          <cell r="B1737" t="str">
            <v>Fornecimento e Instalação de Luva de PVC Rígido para Tubo Soldável 85mm ( 3 pol )</v>
          </cell>
          <cell r="C1737" t="str">
            <v>UN</v>
          </cell>
          <cell r="D1737">
            <v>34.4589</v>
          </cell>
        </row>
        <row r="1738">
          <cell r="A1738" t="str">
            <v>001.31.00720</v>
          </cell>
          <cell r="B1738" t="str">
            <v>Fornecimento e Instalação de Luva de PVC Rígido para Tubo Soldável 110mm ( 4 pol )</v>
          </cell>
          <cell r="C1738" t="str">
            <v>UN</v>
          </cell>
          <cell r="D1738">
            <v>45.4377</v>
          </cell>
        </row>
        <row r="1739">
          <cell r="A1739" t="str">
            <v>001.31.00740</v>
          </cell>
          <cell r="B1739" t="str">
            <v>Fornecimento e Instalação de Cotovelo 90º de PVC Rígido para Tubo Soldável 20 mm ( 1/2 pol)</v>
          </cell>
          <cell r="C1739" t="str">
            <v>UN</v>
          </cell>
          <cell r="D1739">
            <v>1.6606000000000001</v>
          </cell>
        </row>
        <row r="1740">
          <cell r="A1740" t="str">
            <v>001.31.00760</v>
          </cell>
          <cell r="B1740" t="str">
            <v>Fornecimento e Instalação de Cotovelo 90º de PVC Rígido para Tubo Soldável 25 mm ( 3/4 pol)</v>
          </cell>
          <cell r="C1740" t="str">
            <v>UN</v>
          </cell>
          <cell r="D1740">
            <v>1.6006</v>
          </cell>
        </row>
        <row r="1741">
          <cell r="A1741" t="str">
            <v>001.31.00780</v>
          </cell>
          <cell r="B1741" t="str">
            <v>Fornecimento e Instalação de Cotovelo 90º de PVC Rígido para Tubo Soldável 32 mm ( 1 pol)</v>
          </cell>
          <cell r="C1741" t="str">
            <v>UN</v>
          </cell>
          <cell r="D1741">
            <v>2.0406</v>
          </cell>
        </row>
        <row r="1742">
          <cell r="A1742" t="str">
            <v>001.31.00800</v>
          </cell>
          <cell r="B1742" t="str">
            <v>Fornecimento e Instalação de Cotovelo 90º de PVC Rígido para Tubo Soldável 40 mm ( 1 1/4 pol)</v>
          </cell>
          <cell r="C1742" t="str">
            <v>UN</v>
          </cell>
          <cell r="D1742">
            <v>5.2275</v>
          </cell>
        </row>
        <row r="1743">
          <cell r="A1743" t="str">
            <v>001.31.00820</v>
          </cell>
          <cell r="B1743" t="str">
            <v>Fornecimento e Instalação de Cotovelo 90º de PVC Rígido para Tubo Soldável 50 mm ( 1 1/2 pol)</v>
          </cell>
          <cell r="C1743" t="str">
            <v>UN</v>
          </cell>
          <cell r="D1743">
            <v>5.7374999999999998</v>
          </cell>
        </row>
        <row r="1744">
          <cell r="A1744" t="str">
            <v>001.31.00840</v>
          </cell>
          <cell r="B1744" t="str">
            <v>Fornecimento e Instalação de Cotovelo 90º de PVC Rígido para Tubo Soldável  60 mm (2 pol)</v>
          </cell>
          <cell r="C1744" t="str">
            <v>UN</v>
          </cell>
          <cell r="D1744">
            <v>17.087499999999999</v>
          </cell>
        </row>
        <row r="1745">
          <cell r="A1745" t="str">
            <v>001.31.00860</v>
          </cell>
          <cell r="B1745" t="str">
            <v>Fornecimento e Instalação de Cotovelo 90º de PVC Rígido para Tubo Soldável 75 mm (2 1/2 pol)</v>
          </cell>
          <cell r="C1745" t="str">
            <v>UN</v>
          </cell>
          <cell r="D1745">
            <v>52.718899999999998</v>
          </cell>
        </row>
        <row r="1746">
          <cell r="A1746" t="str">
            <v>001.31.00880</v>
          </cell>
          <cell r="B1746" t="str">
            <v>Fornecimento e Instalação de Cotovelo 90º de PVC Rígido para Tubo Soldável  85 mm (3 pol)</v>
          </cell>
          <cell r="C1746" t="str">
            <v>UN</v>
          </cell>
          <cell r="D1746">
            <v>59.648899999999998</v>
          </cell>
        </row>
        <row r="1747">
          <cell r="A1747" t="str">
            <v>001.31.00900</v>
          </cell>
          <cell r="B1747" t="str">
            <v>Fornecimento e Instalação de Cotovelo 90º de PVC Rígido para Tubo Soldável 110 mm (4 pol)</v>
          </cell>
          <cell r="C1747" t="str">
            <v>UN</v>
          </cell>
          <cell r="D1747">
            <v>139.26769999999999</v>
          </cell>
        </row>
        <row r="1748">
          <cell r="A1748" t="str">
            <v>001.31.00920</v>
          </cell>
          <cell r="B1748" t="str">
            <v>Fornecimento e Instalação de Cotovelo 90º com Redução de PVC Rígido para Tubo Soldável 25 x 20mm ( 3/4 x 1/2 pol )</v>
          </cell>
          <cell r="C1748" t="str">
            <v>UN</v>
          </cell>
          <cell r="D1748">
            <v>3.3506</v>
          </cell>
        </row>
        <row r="1749">
          <cell r="A1749" t="str">
            <v>001.31.00940</v>
          </cell>
          <cell r="B1749" t="str">
            <v>Fornecimento e Instalação de Cotovelo 90º com Redução de PVC Rígido para Tubo Soldável 32 x 25mm ( 1 x 3/4 pol )</v>
          </cell>
          <cell r="C1749" t="str">
            <v>UN</v>
          </cell>
          <cell r="D1749">
            <v>2.8006000000000002</v>
          </cell>
        </row>
        <row r="1750">
          <cell r="A1750" t="str">
            <v>001.31.00960</v>
          </cell>
          <cell r="B1750" t="str">
            <v>Fornecimento e Instalação de Cotovelo 45º de PVC Rígido para Tubo Soldável  20 mm ( 1/2 pol)</v>
          </cell>
          <cell r="C1750" t="str">
            <v>UN</v>
          </cell>
          <cell r="D1750">
            <v>1.8106</v>
          </cell>
        </row>
        <row r="1751">
          <cell r="A1751" t="str">
            <v>001.31.00980</v>
          </cell>
          <cell r="B1751" t="str">
            <v>Fornecimento e Instalação de Cotovelo 45º de PVC Rígido para Tubo Soldável  25 mm ( 3/4 pol)</v>
          </cell>
          <cell r="C1751" t="str">
            <v>UN</v>
          </cell>
          <cell r="D1751">
            <v>2.2105999999999999</v>
          </cell>
        </row>
        <row r="1752">
          <cell r="A1752" t="str">
            <v>001.31.01000</v>
          </cell>
          <cell r="B1752" t="str">
            <v>Fornecimento e Instalação de Cotovelo 45º de PVC Rígido para Tubo Soldável 32 mm ( 1 pol)</v>
          </cell>
          <cell r="C1752" t="str">
            <v>UN</v>
          </cell>
          <cell r="D1752">
            <v>3.5706000000000002</v>
          </cell>
        </row>
        <row r="1753">
          <cell r="A1753" t="str">
            <v>001.31.01020</v>
          </cell>
          <cell r="B1753" t="str">
            <v>Fornecimento e Instalação de Cotovelo 45º de PVC Rígido para Tubo Soldável 40 mm (1 1/4 pol)</v>
          </cell>
          <cell r="C1753" t="str">
            <v>UN</v>
          </cell>
          <cell r="D1753">
            <v>5.2275</v>
          </cell>
        </row>
        <row r="1754">
          <cell r="A1754" t="str">
            <v>001.31.01040</v>
          </cell>
          <cell r="B1754" t="str">
            <v>Fornecimento e Instalação de Cotovelo 45º de PVC Rígido para Tubo Soldável 50mm ( 1.1/2 pol ).</v>
          </cell>
          <cell r="C1754" t="str">
            <v>UN</v>
          </cell>
          <cell r="D1754">
            <v>6.5175000000000001</v>
          </cell>
        </row>
        <row r="1755">
          <cell r="A1755" t="str">
            <v>001.31.01060</v>
          </cell>
          <cell r="B1755" t="str">
            <v>Fornecimento e Instalação de Te 90º de PVC Rígido Para Tubo Soldável 20mm ( 1/2 pol )</v>
          </cell>
          <cell r="C1755" t="str">
            <v>UN</v>
          </cell>
          <cell r="D1755">
            <v>1.6606000000000001</v>
          </cell>
        </row>
        <row r="1756">
          <cell r="A1756" t="str">
            <v>001.31.01080</v>
          </cell>
          <cell r="B1756" t="str">
            <v>Fornecimento e Instalação de Te 90º de PVC Rígido Para Tubo Soldável 25mm ( 3/4 pol )</v>
          </cell>
          <cell r="C1756" t="str">
            <v>UN</v>
          </cell>
          <cell r="D1756">
            <v>2.7608999999999999</v>
          </cell>
        </row>
        <row r="1757">
          <cell r="A1757" t="str">
            <v>001.31.01100</v>
          </cell>
          <cell r="B1757" t="str">
            <v>Fornecimento e Instalação de Te 90º de PVC Rígido Para Tubo Soldável 32mm ( 1 pol )</v>
          </cell>
          <cell r="C1757" t="str">
            <v>UN</v>
          </cell>
          <cell r="D1757">
            <v>4.0008999999999997</v>
          </cell>
        </row>
        <row r="1758">
          <cell r="A1758" t="str">
            <v>001.31.01120</v>
          </cell>
          <cell r="B1758" t="str">
            <v>Fornecimento e Instalação de Te 90º de PVC Rígido Para Tubo Soldável  40mm ( 11/4 pol )</v>
          </cell>
          <cell r="C1758" t="str">
            <v>UN</v>
          </cell>
          <cell r="D1758">
            <v>8.7654999999999994</v>
          </cell>
        </row>
        <row r="1759">
          <cell r="A1759" t="str">
            <v>001.31.01140</v>
          </cell>
          <cell r="B1759" t="str">
            <v>Fornecimento e Instalação de Te 90º de PVC Rígido Para Tubo Soldável  50mm ( 11/2 pol )</v>
          </cell>
          <cell r="C1759" t="str">
            <v>UN</v>
          </cell>
          <cell r="D1759">
            <v>8.8454999999999995</v>
          </cell>
        </row>
        <row r="1760">
          <cell r="A1760" t="str">
            <v>001.31.01160</v>
          </cell>
          <cell r="B1760" t="str">
            <v>Fornecimento e Instalação de Te 90º de PVC Rígido Para Tubo Soldável 60mm ( 2 pol )</v>
          </cell>
          <cell r="C1760" t="str">
            <v>UN</v>
          </cell>
          <cell r="D1760">
            <v>21.045500000000001</v>
          </cell>
        </row>
        <row r="1761">
          <cell r="A1761" t="str">
            <v>001.31.01180</v>
          </cell>
          <cell r="B1761" t="str">
            <v>Fornecimento e Instalação de Te 90º de PVC Rígido Para Tubo Soldável 75mm ( 2 1/2 pol )</v>
          </cell>
          <cell r="C1761" t="str">
            <v>UN</v>
          </cell>
          <cell r="D1761">
            <v>40.008200000000002</v>
          </cell>
        </row>
        <row r="1762">
          <cell r="A1762" t="str">
            <v>001.31.01200</v>
          </cell>
          <cell r="B1762" t="str">
            <v>Fornecimento e Instalação de Te 90º de PVC Rígido Para Tubo Soldável  85mm ( 3 pol )</v>
          </cell>
          <cell r="C1762" t="str">
            <v>UN</v>
          </cell>
          <cell r="D1762">
            <v>52.528199999999998</v>
          </cell>
        </row>
        <row r="1763">
          <cell r="A1763" t="str">
            <v>001.31.01220</v>
          </cell>
          <cell r="B1763" t="str">
            <v>Fornecimento e Instalação de Te 90º de PVC Rígido Para Tubo Soldável 110mm ( 4 pol )</v>
          </cell>
          <cell r="C1763" t="str">
            <v>UN</v>
          </cell>
          <cell r="D1763">
            <v>107.19159999999999</v>
          </cell>
        </row>
        <row r="1764">
          <cell r="A1764" t="str">
            <v>001.31.01240</v>
          </cell>
          <cell r="B1764" t="str">
            <v>Fornecimento e Instalação de Te de Redução de PVC Rígido para Tubo Soldável 25 x 20mm ( 3/4 x 1/2 pol )</v>
          </cell>
          <cell r="C1764" t="str">
            <v>UN</v>
          </cell>
          <cell r="D1764">
            <v>3.9108999999999998</v>
          </cell>
        </row>
        <row r="1765">
          <cell r="A1765" t="str">
            <v>001.31.01260</v>
          </cell>
          <cell r="B1765" t="str">
            <v>Fornecimento e Instalação de Te de Redução de PVC Rígido para Tubo Soldável 32 x 25mm ( 1 x 3/4 pol )</v>
          </cell>
          <cell r="C1765" t="str">
            <v>UN</v>
          </cell>
          <cell r="D1765">
            <v>3.6509</v>
          </cell>
        </row>
        <row r="1766">
          <cell r="A1766" t="str">
            <v>001.31.01280</v>
          </cell>
          <cell r="B1766" t="str">
            <v>Fornecimento e Instalação de Te de Redução de PVC Rígido para Tubo Soldável  40 x 32mm ( 1.1/4 x 1 pol )</v>
          </cell>
          <cell r="C1766" t="str">
            <v>UN</v>
          </cell>
          <cell r="D1766">
            <v>8.2355</v>
          </cell>
        </row>
        <row r="1767">
          <cell r="A1767" t="str">
            <v>001.31.01300</v>
          </cell>
          <cell r="B1767" t="str">
            <v>Fornecimento e Instalação de Te de Redução de PVC Rígido para Tubo Soldável 50 x 20mm (1.1/2 x 1/2 pol )</v>
          </cell>
          <cell r="C1767" t="str">
            <v>UN</v>
          </cell>
          <cell r="D1767">
            <v>8.7754999999999992</v>
          </cell>
        </row>
        <row r="1768">
          <cell r="A1768" t="str">
            <v>001.31.01320</v>
          </cell>
          <cell r="B1768" t="str">
            <v>Fornecimento e Instalação de Te de Redução de PVC Rígido para Tubo Soldável 50 x 25mm (1.1/2 x 3/4 pol )</v>
          </cell>
          <cell r="C1768" t="str">
            <v>UN</v>
          </cell>
          <cell r="D1768">
            <v>9.1155000000000008</v>
          </cell>
        </row>
        <row r="1769">
          <cell r="A1769" t="str">
            <v>001.31.01340</v>
          </cell>
          <cell r="B1769" t="str">
            <v>Fornecimento e Instalação de Te de Redução de PVC Rígido para Tubo Soldável 50 x 32mm ( 1.1/2 x 1 pol )</v>
          </cell>
          <cell r="C1769" t="str">
            <v>UN</v>
          </cell>
          <cell r="D1769">
            <v>11.6655</v>
          </cell>
        </row>
        <row r="1770">
          <cell r="A1770" t="str">
            <v>001.31.01360</v>
          </cell>
          <cell r="B1770" t="str">
            <v>Fornecimento e Instalação de Te de Redução de PVC Rígido para Tubo Soldável  50 x 40mm ( 1.1/2 x 1.1/4 pol )</v>
          </cell>
          <cell r="C1770" t="str">
            <v>UN</v>
          </cell>
          <cell r="D1770">
            <v>14.0755</v>
          </cell>
        </row>
        <row r="1771">
          <cell r="A1771" t="str">
            <v>001.31.01380</v>
          </cell>
          <cell r="B1771" t="str">
            <v>Fornecimento e Instalação de Te de Redução de PVC Rígido para Tubo Soldável  75 x 50mm ( 2.1/2 x 1.1/2 pol )</v>
          </cell>
          <cell r="C1771" t="str">
            <v>UN</v>
          </cell>
          <cell r="D1771">
            <v>21.828199999999999</v>
          </cell>
        </row>
        <row r="1772">
          <cell r="A1772" t="str">
            <v>001.31.01400</v>
          </cell>
          <cell r="B1772" t="str">
            <v>Fornecimento e Instalação de Te de Redução de PVC Rígido para Tubo Soldável 85 x 60mm ( 3 x 2 pol )</v>
          </cell>
          <cell r="C1772" t="str">
            <v>UN</v>
          </cell>
          <cell r="D1772">
            <v>31.048200000000001</v>
          </cell>
        </row>
        <row r="1773">
          <cell r="A1773" t="str">
            <v>001.31.01420</v>
          </cell>
          <cell r="B1773" t="str">
            <v>Fornecimento e Instalação de Bucha de Redução de PVC Rígido para Tubo Soldável 25 x 20mm ( 3/4 x 1/2 pol )</v>
          </cell>
          <cell r="C1773" t="str">
            <v>UN</v>
          </cell>
          <cell r="D1773">
            <v>1.5506</v>
          </cell>
        </row>
        <row r="1774">
          <cell r="A1774" t="str">
            <v>001.31.01440</v>
          </cell>
          <cell r="B1774" t="str">
            <v>Fornecimento e Instalação de Bucha de Redução de PVC Rígido para Tubo Soldável 32 x 25mm ( 1 x 3/4 pol )</v>
          </cell>
          <cell r="C1774" t="str">
            <v>UN</v>
          </cell>
          <cell r="D1774">
            <v>1.7205999999999999</v>
          </cell>
        </row>
        <row r="1775">
          <cell r="A1775" t="str">
            <v>001.31.01460</v>
          </cell>
          <cell r="B1775" t="str">
            <v>Fornecimento e Instalação de Bucha de Redução de PVC Rígido para Tubo Soldável  40 x 32mm ( 1.1/4 x 1 pol )</v>
          </cell>
          <cell r="C1775" t="str">
            <v>UN</v>
          </cell>
          <cell r="D1775">
            <v>3.2174999999999998</v>
          </cell>
        </row>
        <row r="1776">
          <cell r="A1776" t="str">
            <v>001.31.01480</v>
          </cell>
          <cell r="B1776" t="str">
            <v>Fornecimento e Instalação de Bucha de Redução de PVC Rígido para Tubo Soldável 50 x 40mm ( 1.1/2 x 1/1/4 pol )</v>
          </cell>
          <cell r="C1776" t="str">
            <v>UN</v>
          </cell>
          <cell r="D1776">
            <v>3.8875000000000002</v>
          </cell>
        </row>
        <row r="1777">
          <cell r="A1777" t="str">
            <v>001.31.01500</v>
          </cell>
          <cell r="B1777" t="str">
            <v>Fornecimento e Instalação de Bucha de Redução de PVC Rígido para Tubo Soldável 60 x 50mm ( 2 x 1.1/2 pol )</v>
          </cell>
          <cell r="C1777" t="str">
            <v>UN</v>
          </cell>
          <cell r="D1777">
            <v>5.3674999999999997</v>
          </cell>
        </row>
        <row r="1778">
          <cell r="A1778" t="str">
            <v>001.31.01520</v>
          </cell>
          <cell r="B1778" t="str">
            <v>Fornecimento e Instalação de Bucha de Redução de PVC Rígido para Tubo Soldável 75 x 60mm (2.1/2 x 2 pol )</v>
          </cell>
          <cell r="C1778" t="str">
            <v>UN</v>
          </cell>
          <cell r="D1778">
            <v>10.6989</v>
          </cell>
        </row>
        <row r="1779">
          <cell r="A1779" t="str">
            <v>001.31.01540</v>
          </cell>
          <cell r="B1779" t="str">
            <v>Fornecimento e Instalação de Bucha de Redução de PVC Rígido para Tubo Soldável 85 x 75mm ( 3 x 2.1/2 pol )</v>
          </cell>
          <cell r="C1779" t="str">
            <v>UN</v>
          </cell>
          <cell r="D1779">
            <v>11.168900000000001</v>
          </cell>
        </row>
        <row r="1780">
          <cell r="A1780" t="str">
            <v>001.31.01560</v>
          </cell>
          <cell r="B1780" t="str">
            <v>Fornecimento e Instalação de Bucha de Redução de PVC Rígido para Tubo Soldável 110 x 85mm ( 4 x 3 pol )</v>
          </cell>
          <cell r="C1780" t="str">
            <v>UN</v>
          </cell>
          <cell r="D1780">
            <v>33.9377</v>
          </cell>
        </row>
        <row r="1781">
          <cell r="A1781" t="str">
            <v>001.31.01580</v>
          </cell>
          <cell r="B1781" t="str">
            <v>Fornecimento e Instalação de União de PVC Rígido para Tubo Soldável 20mm ( 1/2 pol )</v>
          </cell>
          <cell r="C1781" t="str">
            <v>UN</v>
          </cell>
          <cell r="D1781">
            <v>4.9706000000000001</v>
          </cell>
        </row>
        <row r="1782">
          <cell r="A1782" t="str">
            <v>001.31.01600</v>
          </cell>
          <cell r="B1782" t="str">
            <v>Fornecimento e Instalação de União de PVC Rígido para Tubo Soldável  25mm ( 3/4 pol )</v>
          </cell>
          <cell r="C1782" t="str">
            <v>UN</v>
          </cell>
          <cell r="D1782">
            <v>5.2706</v>
          </cell>
        </row>
        <row r="1783">
          <cell r="A1783" t="str">
            <v>001.31.01620</v>
          </cell>
          <cell r="B1783" t="str">
            <v>Fornecimento e Instalação de União de PVC Rígido para Tubo Soldável 32mm ( 1 pol )</v>
          </cell>
          <cell r="C1783" t="str">
            <v>UN</v>
          </cell>
          <cell r="D1783">
            <v>9.9306000000000001</v>
          </cell>
        </row>
        <row r="1784">
          <cell r="A1784" t="str">
            <v>001.31.01640</v>
          </cell>
          <cell r="B1784" t="str">
            <v>Fornecimento e Instalação de União de PVC Rígido para Tubo Soldável 40mm ( 1 1/4 pol )</v>
          </cell>
          <cell r="C1784" t="str">
            <v>UN</v>
          </cell>
          <cell r="D1784">
            <v>15.827500000000001</v>
          </cell>
        </row>
        <row r="1785">
          <cell r="A1785" t="str">
            <v>001.31.01660</v>
          </cell>
          <cell r="B1785" t="str">
            <v>Fornecimento e Instalação de União de PVC Rígido para Tubo Soldável  50mm ( 1 1/2 pol )</v>
          </cell>
          <cell r="C1785" t="str">
            <v>UN</v>
          </cell>
          <cell r="D1785">
            <v>19.487500000000001</v>
          </cell>
        </row>
        <row r="1786">
          <cell r="A1786" t="str">
            <v>001.31.01680</v>
          </cell>
          <cell r="B1786" t="str">
            <v>Fornecimento e Instalação de União de PVC Rígido para Tubo Soldável 60mm ( 2 pol )</v>
          </cell>
          <cell r="C1786" t="str">
            <v>UN</v>
          </cell>
          <cell r="D1786">
            <v>34.657499999999999</v>
          </cell>
        </row>
        <row r="1787">
          <cell r="A1787" t="str">
            <v>001.31.01700</v>
          </cell>
          <cell r="B1787" t="str">
            <v>Fornecimento e Instalação de União de PVC Rígido para Tubo Soldável 75mm ( 2 1/2 pol )</v>
          </cell>
          <cell r="C1787" t="str">
            <v>UN</v>
          </cell>
          <cell r="D1787">
            <v>125.2389</v>
          </cell>
        </row>
        <row r="1788">
          <cell r="A1788" t="str">
            <v>001.31.01720</v>
          </cell>
          <cell r="B1788" t="str">
            <v>Fornecimento e Instalação de União de PVC Rígido para Tubo Soldável  85mm ( 3 pol )</v>
          </cell>
          <cell r="C1788" t="str">
            <v>UN</v>
          </cell>
          <cell r="D1788">
            <v>180.7389</v>
          </cell>
        </row>
        <row r="1789">
          <cell r="A1789" t="str">
            <v>001.31.01740</v>
          </cell>
          <cell r="B1789" t="str">
            <v>Fornecimento e Instalação de União de PVC Rígido para Tubo Soldável 110mm ( 4 pol )</v>
          </cell>
          <cell r="C1789" t="str">
            <v>UN</v>
          </cell>
          <cell r="D1789">
            <v>217.68770000000001</v>
          </cell>
        </row>
        <row r="1790">
          <cell r="A1790" t="str">
            <v>001.31.01760</v>
          </cell>
          <cell r="B1790" t="str">
            <v>Fornecimento e Instalação de Adaptador Soldável Curto Com Bolsa e Rosca para Registro de PVC Rígido Para Tubo Soldável 20mm x 1/2 pol</v>
          </cell>
          <cell r="C1790" t="str">
            <v>UN</v>
          </cell>
          <cell r="D1790">
            <v>1.7605999999999999</v>
          </cell>
        </row>
        <row r="1791">
          <cell r="A1791" t="str">
            <v>001.31.01780</v>
          </cell>
          <cell r="B1791" t="str">
            <v>Fornecimento e Instalação de Adaptador Soldável Curto Com Bolsa e Rosca para Registro de PVC Rígido Para Tubo Soldável  25mm x 3/4 pol</v>
          </cell>
          <cell r="C1791" t="str">
            <v>UN</v>
          </cell>
          <cell r="D1791">
            <v>1.6406000000000001</v>
          </cell>
        </row>
        <row r="1792">
          <cell r="A1792" t="str">
            <v>001.31.01800</v>
          </cell>
          <cell r="B1792" t="str">
            <v>Fornecimento e Instalação de Adaptador Soldável Curto Com Bolsa e Rosca para Registro de PVC Rígido Para Tubo Soldável 32mm x 1 pol</v>
          </cell>
          <cell r="C1792" t="str">
            <v>UN</v>
          </cell>
          <cell r="D1792">
            <v>1.9006000000000001</v>
          </cell>
        </row>
        <row r="1793">
          <cell r="A1793" t="str">
            <v>001.31.01820</v>
          </cell>
          <cell r="B1793" t="str">
            <v>Fornecimento e Instalação de Adaptador Soldável Curto Com Bolsa e Rosca para Registro de PVC Rígido Para Tubo Soldável 40mm x 1.1/4 pol</v>
          </cell>
          <cell r="C1793" t="str">
            <v>UN</v>
          </cell>
          <cell r="D1793">
            <v>4.3375000000000004</v>
          </cell>
        </row>
        <row r="1794">
          <cell r="A1794" t="str">
            <v>001.31.01840</v>
          </cell>
          <cell r="B1794" t="str">
            <v>Fornecimento e Instalação de Adaptador Soldável Curto Com Bolsa e Rosca para Registro de PVC Rígido Para Tubo Soldável  40mm x 1.5 pol.</v>
          </cell>
          <cell r="C1794" t="str">
            <v>UN</v>
          </cell>
          <cell r="D1794">
            <v>3.8374999999999999</v>
          </cell>
        </row>
        <row r="1795">
          <cell r="A1795" t="str">
            <v>001.31.01860</v>
          </cell>
          <cell r="B1795" t="str">
            <v>Fornecimento e Instalação de Adaptador Soldável Curto Com Bolsa e Rosca para Registro de PVC Rígido Para Tubo Soldável  50mm x 1.1/4 pol</v>
          </cell>
          <cell r="C1795" t="str">
            <v>UN</v>
          </cell>
          <cell r="D1795">
            <v>6.2074999999999996</v>
          </cell>
        </row>
        <row r="1796">
          <cell r="A1796" t="str">
            <v>001.31.01880</v>
          </cell>
          <cell r="B1796" t="str">
            <v>Fornecimento e Instalação de Adaptador Soldável Curto Com Bolsa e Rosca para Registro de PVC Rígido Para Tubo Soldável  50mm x 1.5 pol</v>
          </cell>
          <cell r="C1796" t="str">
            <v>UN</v>
          </cell>
          <cell r="D1796">
            <v>5.6875</v>
          </cell>
        </row>
        <row r="1797">
          <cell r="A1797" t="str">
            <v>001.31.01900</v>
          </cell>
          <cell r="B1797" t="str">
            <v>Fornecimento e Instalação de Adaptador Soldável Curto Com Bolsa e Rosca para Registro de PVC Rígido Para Tubo Soldável  60mm x 2 pol</v>
          </cell>
          <cell r="C1797" t="str">
            <v>UN</v>
          </cell>
          <cell r="D1797">
            <v>9.8988999999999994</v>
          </cell>
        </row>
        <row r="1798">
          <cell r="A1798" t="str">
            <v>001.31.01920</v>
          </cell>
          <cell r="B1798" t="str">
            <v>Fornecimento e Instalação de Adaptador Soldável Curto Com Bolsa e Rosca para Registro de PVC Rígido Para Tubo Soldável  75mm x 2.5 pol</v>
          </cell>
          <cell r="C1798" t="str">
            <v>UN</v>
          </cell>
          <cell r="D1798">
            <v>16.168900000000001</v>
          </cell>
        </row>
        <row r="1799">
          <cell r="A1799" t="str">
            <v>001.31.01940</v>
          </cell>
          <cell r="B1799" t="str">
            <v>Fornecimento e Instalação de Adaptador Soldável Curto Com Bolsa e Rosca para Registro de PVC Rígido Para Tubo Soldável  85mm x 3 pol</v>
          </cell>
          <cell r="C1799" t="str">
            <v>UN</v>
          </cell>
          <cell r="D1799">
            <v>23.428899999999999</v>
          </cell>
        </row>
        <row r="1800">
          <cell r="A1800" t="str">
            <v>001.31.01960</v>
          </cell>
          <cell r="B1800" t="str">
            <v>Fornecimento e Instalação de Adaptador Soldável Curto Com Bolsa e Rosca para Registro de PVC Rígido Para Tubo Soldável 110m x 4 pol</v>
          </cell>
          <cell r="C1800" t="str">
            <v>UN</v>
          </cell>
          <cell r="D1800">
            <v>36.3277</v>
          </cell>
        </row>
        <row r="1801">
          <cell r="A1801" t="str">
            <v>001.31.01980</v>
          </cell>
          <cell r="B1801" t="str">
            <v>Fornecimento e Instalação de Adaptador Soldável com Flanges de PVC Rígido para Tubo Soldável para Caixa de Água 20mm x 1/2 pol</v>
          </cell>
          <cell r="C1801" t="str">
            <v>UN</v>
          </cell>
          <cell r="D1801">
            <v>13.464700000000001</v>
          </cell>
        </row>
        <row r="1802">
          <cell r="A1802" t="str">
            <v>001.31.02000</v>
          </cell>
          <cell r="B1802" t="str">
            <v>Fornecimento e Instalação de Adaptador Soldável com Flanges de PVC Rígido para Tubo Soldável para Caixa de Água  25mm x 3/4</v>
          </cell>
          <cell r="C1802" t="str">
            <v>UN</v>
          </cell>
          <cell r="D1802">
            <v>9.2847000000000008</v>
          </cell>
        </row>
        <row r="1803">
          <cell r="A1803" t="str">
            <v>001.31.02020</v>
          </cell>
          <cell r="B1803" t="str">
            <v>Fornecimento e Instalação de Adaptador Soldável com Flanges de PVC Rígido para Tubo Soldável para Caixa de Água 32mm x 1 pol</v>
          </cell>
          <cell r="C1803" t="str">
            <v>UN</v>
          </cell>
          <cell r="D1803">
            <v>9.4647000000000006</v>
          </cell>
        </row>
        <row r="1804">
          <cell r="A1804" t="str">
            <v>001.31.02040</v>
          </cell>
          <cell r="B1804" t="str">
            <v>Fornecimento e Instalação de Adaptador Soldável com Flanges de PVC Rígido para Tubo Soldável para Caixa de Água 40mm x 1.1/4 pol</v>
          </cell>
          <cell r="C1804" t="str">
            <v>UN</v>
          </cell>
          <cell r="D1804">
            <v>15.213100000000001</v>
          </cell>
        </row>
        <row r="1805">
          <cell r="A1805" t="str">
            <v>001.31.02060</v>
          </cell>
          <cell r="B1805" t="str">
            <v>Fornecimento e Instalação de Adaptador Soldável com Flanges de PVC Rígido para Tubo Soldável para Caixa de Água 50mm x 1.5 pol</v>
          </cell>
          <cell r="C1805" t="str">
            <v>UN</v>
          </cell>
          <cell r="D1805">
            <v>20.032699999999998</v>
          </cell>
        </row>
        <row r="1806">
          <cell r="A1806" t="str">
            <v>001.31.02080</v>
          </cell>
          <cell r="B1806" t="str">
            <v>Fornecimento e Instalação de Adaptador Soldável com Flanges de PVC Rígido para Tubo Soldável para Caixa de Água 60mm x 2 pol</v>
          </cell>
          <cell r="C1806" t="str">
            <v>UN</v>
          </cell>
          <cell r="D1806">
            <v>43.102699999999999</v>
          </cell>
        </row>
        <row r="1807">
          <cell r="A1807" t="str">
            <v>001.31.02100</v>
          </cell>
          <cell r="B1807" t="str">
            <v>Fornecimento e Instalação de Adaptador Soldável com Flanges de PVC Rígido para Tubo Soldável para Caixa de Água 75mm x 2.5 pol</v>
          </cell>
          <cell r="C1807" t="str">
            <v>UN</v>
          </cell>
          <cell r="D1807">
            <v>135.5941</v>
          </cell>
        </row>
        <row r="1808">
          <cell r="A1808" t="str">
            <v>001.31.02120</v>
          </cell>
          <cell r="B1808" t="str">
            <v>Fornecimento e Instalação de Adaptador Soldável com Flanges de PVC Rígido para Tubo Soldável para Caixa de Água 85mm x 3 pol</v>
          </cell>
          <cell r="C1808" t="str">
            <v>UN</v>
          </cell>
          <cell r="D1808">
            <v>174.7841</v>
          </cell>
        </row>
        <row r="1809">
          <cell r="A1809" t="str">
            <v>001.31.02140</v>
          </cell>
          <cell r="B1809" t="str">
            <v>Fornecimento e Instalação de Adaptador Soldável com Flanges de PVC Rígido para Tubo Soldável para Caixa de Água 110mm x 4 pol</v>
          </cell>
          <cell r="C1809" t="str">
            <v>UN</v>
          </cell>
          <cell r="D1809">
            <v>241.74760000000001</v>
          </cell>
        </row>
        <row r="1810">
          <cell r="A1810" t="str">
            <v>001.31.02160</v>
          </cell>
          <cell r="B1810" t="str">
            <v>Fornecimento e Instalação de Bucha de Redução Longa de PVC Rígido para Tubo Soldável 32 x 20 mm (1 x 1/2 pol)</v>
          </cell>
          <cell r="C1810" t="str">
            <v>UN</v>
          </cell>
          <cell r="D1810">
            <v>2.6705999999999999</v>
          </cell>
        </row>
        <row r="1811">
          <cell r="A1811" t="str">
            <v>001.31.02180</v>
          </cell>
          <cell r="B1811" t="str">
            <v>Fornecimento e Instalação de Bucha de Redução Longa de PVC Rígido para Tubo Soldável 40 x 20 mm (1.1/4 x 1/2 pol)</v>
          </cell>
          <cell r="C1811" t="str">
            <v>UN</v>
          </cell>
          <cell r="D1811">
            <v>4.0575000000000001</v>
          </cell>
        </row>
        <row r="1812">
          <cell r="A1812" t="str">
            <v>001.31.02200</v>
          </cell>
          <cell r="B1812" t="str">
            <v>Fornecimento e Instalação de Bucha de Redução Longa de PVC Rígido para Tubo Soldável  40 x 25 mm ( 1.1/4 x 3/4 pol)</v>
          </cell>
          <cell r="C1812" t="str">
            <v>UN</v>
          </cell>
          <cell r="D1812">
            <v>3.8675000000000002</v>
          </cell>
        </row>
        <row r="1813">
          <cell r="A1813" t="str">
            <v>001.31.02220</v>
          </cell>
          <cell r="B1813" t="str">
            <v>Fornecimento e Instalação de Bucha de Redução Longa de PVC Rígido para Tubo Soldável 50 x 20 mm ( 1.1/2 x 1/2 pol)</v>
          </cell>
          <cell r="C1813" t="str">
            <v>UN</v>
          </cell>
          <cell r="D1813">
            <v>4.0875000000000004</v>
          </cell>
        </row>
        <row r="1814">
          <cell r="A1814" t="str">
            <v>001.31.02240</v>
          </cell>
          <cell r="B1814" t="str">
            <v>Fornecimento e Instalação de Bucha de Redução Longa de PVC Rígido para Tubo Soldável 50 x 25 mm ( 1.1/2 x 3.4 pol)</v>
          </cell>
          <cell r="C1814" t="str">
            <v>UN</v>
          </cell>
          <cell r="D1814">
            <v>4.0575000000000001</v>
          </cell>
        </row>
        <row r="1815">
          <cell r="A1815" t="str">
            <v>001.31.02260</v>
          </cell>
          <cell r="B1815" t="str">
            <v>Fornecimento e Instalação de Bucha de Redução Longa de PVC Rígido para Tubo Soldável 50 x 32 mm ( 1.1/2 x 1 pol)</v>
          </cell>
          <cell r="C1815" t="str">
            <v>UN</v>
          </cell>
          <cell r="D1815">
            <v>4.3574999999999999</v>
          </cell>
        </row>
        <row r="1816">
          <cell r="A1816" t="str">
            <v>001.31.02280</v>
          </cell>
          <cell r="B1816" t="str">
            <v>Fornecimento e Instalação de Bucha de Redução Longa de PVC Rígido para Tubo Soldável 60 x 25 mm ( 2 x 3/4 pol)</v>
          </cell>
          <cell r="C1816" t="str">
            <v>UN</v>
          </cell>
          <cell r="D1816">
            <v>7.3589000000000002</v>
          </cell>
        </row>
        <row r="1817">
          <cell r="A1817" t="str">
            <v>001.31.02300</v>
          </cell>
          <cell r="B1817" t="str">
            <v>Fornecimento e Instalação de Bucha de Redução Longa de PVC Rígido para Tubo Soldável 60 x 32 mm (2 x 1 pol)</v>
          </cell>
          <cell r="C1817" t="str">
            <v>UN</v>
          </cell>
          <cell r="D1817">
            <v>8.5789000000000009</v>
          </cell>
        </row>
        <row r="1818">
          <cell r="A1818" t="str">
            <v>001.31.02320</v>
          </cell>
          <cell r="B1818" t="str">
            <v>Fornecimento e Instalação de Bucha de Redução Longa de PVC Rígido para Tubo Soldável 60 x 40 mm (2 x 1.1/4 pol)</v>
          </cell>
          <cell r="C1818" t="str">
            <v>UN</v>
          </cell>
          <cell r="D1818">
            <v>8.7489000000000008</v>
          </cell>
        </row>
        <row r="1819">
          <cell r="A1819" t="str">
            <v>001.31.02340</v>
          </cell>
          <cell r="B1819" t="str">
            <v>Fornecimento e Instalação de Cap de PVC Rígido para Tubo Soldável 20 mm (1/2 pol)</v>
          </cell>
          <cell r="C1819" t="str">
            <v>UN</v>
          </cell>
          <cell r="D1819">
            <v>1.3503000000000001</v>
          </cell>
        </row>
        <row r="1820">
          <cell r="A1820" t="str">
            <v>001.31.02360</v>
          </cell>
          <cell r="B1820" t="str">
            <v>Fornecimento e Instalação de Cap de PVC Rígido para Tubo Soldável  25 mm (3/4 pol)</v>
          </cell>
          <cell r="C1820" t="str">
            <v>UN</v>
          </cell>
          <cell r="D1820">
            <v>1.4302999999999999</v>
          </cell>
        </row>
        <row r="1821">
          <cell r="A1821" t="str">
            <v>001.31.02380</v>
          </cell>
          <cell r="B1821" t="str">
            <v>Fornecimento e Instalação de Cap de PVC Rígido para Tubo Soldável 32 mm (1 pol)</v>
          </cell>
          <cell r="C1821" t="str">
            <v>UN</v>
          </cell>
          <cell r="D1821">
            <v>1.7403</v>
          </cell>
        </row>
        <row r="1822">
          <cell r="A1822" t="str">
            <v>001.31.02400</v>
          </cell>
          <cell r="B1822" t="str">
            <v>Fornecimento e Instalação de Cap de PVC Rígido para Tubo Soldável 40 mm (1.1/4 pol)</v>
          </cell>
          <cell r="C1822" t="str">
            <v>UN</v>
          </cell>
          <cell r="D1822">
            <v>3.0987</v>
          </cell>
        </row>
        <row r="1823">
          <cell r="A1823" t="str">
            <v>001.31.02420</v>
          </cell>
          <cell r="B1823" t="str">
            <v>Fornecimento e Instalação de Cap de PVC Rígido para Tubo Soldável 50 mm ( 1.1/2 pol)</v>
          </cell>
          <cell r="C1823" t="str">
            <v>UN</v>
          </cell>
          <cell r="D1823">
            <v>4.3586999999999998</v>
          </cell>
        </row>
        <row r="1824">
          <cell r="A1824" t="str">
            <v>001.31.02440</v>
          </cell>
          <cell r="B1824" t="str">
            <v>Fornecimento e Instalação de Joelho 90º Soldável/Rosqueável 20mm x 1/2 pol</v>
          </cell>
          <cell r="C1824" t="str">
            <v>UN</v>
          </cell>
          <cell r="D1824">
            <v>2.3106</v>
          </cell>
        </row>
        <row r="1825">
          <cell r="A1825" t="str">
            <v>001.31.02460</v>
          </cell>
          <cell r="B1825" t="str">
            <v>Fornecimento e Instalação de Joelho 90º Soldável/Rosqueável 25mm x 3/4 pol</v>
          </cell>
          <cell r="C1825" t="str">
            <v>UN</v>
          </cell>
          <cell r="D1825">
            <v>2.8006000000000002</v>
          </cell>
        </row>
        <row r="1826">
          <cell r="A1826" t="str">
            <v>001.31.02480</v>
          </cell>
          <cell r="B1826" t="str">
            <v>Fornecimento e Instalação de Joelho 90º Soldável/Rosqueável  32mm x 1 pol</v>
          </cell>
          <cell r="C1826" t="str">
            <v>UN</v>
          </cell>
          <cell r="D1826">
            <v>3.7806000000000002</v>
          </cell>
        </row>
        <row r="1827">
          <cell r="A1827" t="str">
            <v>001.31.02500</v>
          </cell>
          <cell r="B1827" t="str">
            <v>Fornecimento e Instalação de Joelho de Redução 90º Soldável/Rosqueável 25mm x 1/2 pol</v>
          </cell>
          <cell r="C1827" t="str">
            <v>UN</v>
          </cell>
          <cell r="D1827">
            <v>2.4506000000000001</v>
          </cell>
        </row>
        <row r="1828">
          <cell r="A1828" t="str">
            <v>001.31.02520</v>
          </cell>
          <cell r="B1828" t="str">
            <v>Fornecimento e Instalação de Joelho de Redução 90º Soldável/Rosqueável 32mm x 3/4 pol</v>
          </cell>
          <cell r="C1828" t="str">
            <v>UN</v>
          </cell>
          <cell r="D1828">
            <v>7.1905999999999999</v>
          </cell>
        </row>
        <row r="1829">
          <cell r="A1829" t="str">
            <v>001.31.02540</v>
          </cell>
          <cell r="B1829" t="str">
            <v>Fornecimento e Instalação de Luva Simples Soldável/Rosqueável 25mm x 1/2 pol</v>
          </cell>
          <cell r="C1829" t="str">
            <v>UN</v>
          </cell>
          <cell r="D1829">
            <v>2.0706000000000002</v>
          </cell>
        </row>
        <row r="1830">
          <cell r="A1830" t="str">
            <v>001.31.02560</v>
          </cell>
          <cell r="B1830" t="str">
            <v>Fornecimento e Instalação de Luva Simples Soldável/Rosqueável  20mm x 1/2 pol</v>
          </cell>
          <cell r="C1830" t="str">
            <v>UN</v>
          </cell>
          <cell r="D1830">
            <v>2.0406</v>
          </cell>
        </row>
        <row r="1831">
          <cell r="A1831" t="str">
            <v>001.31.02580</v>
          </cell>
          <cell r="B1831" t="str">
            <v>Fornecimento e Instalação de Luva Simples Soldável/Rosqueável 25mm x 3/4 pol</v>
          </cell>
          <cell r="C1831" t="str">
            <v>UN</v>
          </cell>
          <cell r="D1831">
            <v>1.9306000000000001</v>
          </cell>
        </row>
        <row r="1832">
          <cell r="A1832" t="str">
            <v>001.31.02600</v>
          </cell>
          <cell r="B1832" t="str">
            <v>Fornecimento e Instalação de Luva Simples Soldável/Rosqueável 32mm x 1 pol</v>
          </cell>
          <cell r="C1832" t="str">
            <v>UN</v>
          </cell>
          <cell r="D1832">
            <v>4.1505999999999998</v>
          </cell>
        </row>
        <row r="1833">
          <cell r="A1833" t="str">
            <v>001.31.02620</v>
          </cell>
          <cell r="B1833" t="str">
            <v>Fornecimento e Instalação de Luva Simples Soldável/Rosqueável 40mm x 1.1/4 pol</v>
          </cell>
          <cell r="C1833" t="str">
            <v>UN</v>
          </cell>
          <cell r="D1833">
            <v>8.4574999999999996</v>
          </cell>
        </row>
        <row r="1834">
          <cell r="A1834" t="str">
            <v>001.31.02640</v>
          </cell>
          <cell r="B1834" t="str">
            <v>Fornecimento e Instalação de Luva Simples Soldável/Rosqueável 50mm x 1.5 pol</v>
          </cell>
          <cell r="C1834" t="str">
            <v>UN</v>
          </cell>
          <cell r="D1834">
            <v>18.807500000000001</v>
          </cell>
        </row>
        <row r="1835">
          <cell r="A1835" t="str">
            <v>001.31.02660</v>
          </cell>
          <cell r="B1835" t="str">
            <v>Fornecimento e Instalação de Te 90º com Rosca na Bolsa Central Soldável/Rosqueável 32mm x 32mm x 1 pol</v>
          </cell>
          <cell r="C1835" t="str">
            <v>UN</v>
          </cell>
          <cell r="D1835">
            <v>3.7709000000000001</v>
          </cell>
        </row>
        <row r="1836">
          <cell r="A1836" t="str">
            <v>001.31.02680</v>
          </cell>
          <cell r="B1836" t="str">
            <v>Fornecimento e Instalação de Te 90º com Rosca na Bolsa Central Soldável/Rosqueável 25mm x 25mm 3/4 pol</v>
          </cell>
          <cell r="C1836" t="str">
            <v>UN</v>
          </cell>
          <cell r="D1836">
            <v>4.8509000000000002</v>
          </cell>
        </row>
        <row r="1837">
          <cell r="A1837" t="str">
            <v>001.31.02700</v>
          </cell>
          <cell r="B1837" t="str">
            <v>Fornecimento e Instalação de Te 90º com Rosca na Bolsa Central Soldável/Rosqueável 20mm x 20mm x 1/2 pol</v>
          </cell>
          <cell r="C1837" t="str">
            <v>UN</v>
          </cell>
          <cell r="D1837">
            <v>4.9759000000000002</v>
          </cell>
        </row>
        <row r="1838">
          <cell r="A1838" t="str">
            <v>001.31.02720</v>
          </cell>
          <cell r="B1838" t="str">
            <v>Fornecimento e Instalação de Te 90º com Rosca na Bolsa Central Soldável/Rosqueável 32mm x 32mm x 3/4 pol</v>
          </cell>
          <cell r="C1838" t="str">
            <v>UN</v>
          </cell>
          <cell r="D1838">
            <v>6.0209000000000001</v>
          </cell>
        </row>
        <row r="1839">
          <cell r="A1839" t="str">
            <v>001.31.02740</v>
          </cell>
          <cell r="B1839" t="str">
            <v>Fornecimento e Instalação de Te 90º com Rosca na Bolsa Central Soldável/Rosqueável 25mm x 25mm x 1/2 pol</v>
          </cell>
          <cell r="C1839" t="str">
            <v>UN</v>
          </cell>
          <cell r="D1839">
            <v>3.5409000000000002</v>
          </cell>
        </row>
        <row r="1840">
          <cell r="A1840" t="str">
            <v>001.31.02760</v>
          </cell>
          <cell r="B1840" t="str">
            <v>Fornecimento e Instalação de Joelho 90º Soldável/Roscável com Bucha de Latão 20mm x 1/2 pol</v>
          </cell>
          <cell r="C1840" t="str">
            <v>UN</v>
          </cell>
          <cell r="D1840">
            <v>3.7968999999999999</v>
          </cell>
        </row>
        <row r="1841">
          <cell r="A1841" t="str">
            <v>001.31.02780</v>
          </cell>
          <cell r="B1841" t="str">
            <v>Fornecimento e Instalação de Joelho 90º Soldável/Roscável com Bucha de Latão 25mm x 3/4 pol</v>
          </cell>
          <cell r="C1841" t="str">
            <v>UN</v>
          </cell>
          <cell r="D1841">
            <v>4.2668999999999997</v>
          </cell>
        </row>
        <row r="1842">
          <cell r="A1842" t="str">
            <v>001.31.02800</v>
          </cell>
          <cell r="B1842" t="str">
            <v>Fornecimento e Instalação de Joelho de Redução 90º Soldável/Roscável com Bucha de Latão 25mm x 1/2 pol</v>
          </cell>
          <cell r="C1842" t="str">
            <v>UN</v>
          </cell>
          <cell r="D1842">
            <v>4.0669000000000004</v>
          </cell>
        </row>
        <row r="1843">
          <cell r="A1843" t="str">
            <v>001.31.02820</v>
          </cell>
          <cell r="B1843" t="str">
            <v>Fornecimento e Instalação de Joelho 90º de Redução Soldável/Roscável com Bucha de Latão 32mm x 3/4 pol</v>
          </cell>
          <cell r="C1843" t="str">
            <v>UN</v>
          </cell>
          <cell r="D1843">
            <v>2.6669</v>
          </cell>
        </row>
        <row r="1844">
          <cell r="A1844" t="str">
            <v>001.31.02840</v>
          </cell>
          <cell r="B1844" t="str">
            <v>Fornecimento e Instalação de Luva Simples Soldável/Roscável com Bucha de Latão 20mm x 1/2 pol</v>
          </cell>
          <cell r="C1844" t="str">
            <v>UN</v>
          </cell>
          <cell r="D1844">
            <v>3.9769000000000001</v>
          </cell>
        </row>
        <row r="1845">
          <cell r="A1845" t="str">
            <v>001.31.02860</v>
          </cell>
          <cell r="B1845" t="str">
            <v>Fornecimento e Instalação de Luva Simples Soldável/Roscável com Bucha de Latão 25mm x 3/4 pol</v>
          </cell>
          <cell r="C1845" t="str">
            <v>UN</v>
          </cell>
          <cell r="D1845">
            <v>3.5669</v>
          </cell>
        </row>
        <row r="1846">
          <cell r="A1846" t="str">
            <v>001.31.02880</v>
          </cell>
          <cell r="B1846" t="str">
            <v>Fornecimento e Instalação de Luva Simples de Redução  Soldável/Roscável com Bucha de Latão 25mm x 1/2 pol</v>
          </cell>
          <cell r="C1846" t="str">
            <v>UN</v>
          </cell>
          <cell r="D1846">
            <v>4.1868999999999996</v>
          </cell>
        </row>
        <row r="1847">
          <cell r="A1847" t="str">
            <v>001.31.02900</v>
          </cell>
          <cell r="B1847" t="str">
            <v>Fornecimento e Instalação de Te 90º com Bucha de Latão Central 20mm x 20mm x 1/2 pol</v>
          </cell>
          <cell r="C1847" t="str">
            <v>UN</v>
          </cell>
          <cell r="D1847">
            <v>4.2769000000000004</v>
          </cell>
        </row>
        <row r="1848">
          <cell r="A1848" t="str">
            <v>001.31.02920</v>
          </cell>
          <cell r="B1848" t="str">
            <v>Fornecimento e Instalação de Te 90º com Bucha de Latão Central 25mm x 25mm x 3/4 pol</v>
          </cell>
          <cell r="C1848" t="str">
            <v>UN</v>
          </cell>
          <cell r="D1848">
            <v>4.7869000000000002</v>
          </cell>
        </row>
        <row r="1849">
          <cell r="A1849" t="str">
            <v>001.31.02940</v>
          </cell>
          <cell r="B1849" t="str">
            <v>Fornecimento e Instalação de Te Redução 90º com Bucha de Latão na Bolsa Central  25mm x 25mm 1/2 pol</v>
          </cell>
          <cell r="C1849" t="str">
            <v>UN</v>
          </cell>
          <cell r="D1849">
            <v>3.4769000000000001</v>
          </cell>
        </row>
        <row r="1850">
          <cell r="A1850" t="str">
            <v>001.31.02960</v>
          </cell>
          <cell r="B1850" t="str">
            <v>Fornecimento e Instalação de Te Redução 90º com Bucha de Latão na Bolsa Central 32mm x 32mm x 3/4 pol</v>
          </cell>
          <cell r="C1850" t="str">
            <v>UN</v>
          </cell>
          <cell r="D1850">
            <v>5.9569000000000001</v>
          </cell>
        </row>
        <row r="1851">
          <cell r="A1851" t="str">
            <v>001.31.02980</v>
          </cell>
          <cell r="B1851" t="str">
            <v>Fornecimento e Instalação de Adaptador com Rosca e Flange para Caixa de Água de PVC 1/2 pol</v>
          </cell>
          <cell r="C1851" t="str">
            <v>UN</v>
          </cell>
          <cell r="D1851">
            <v>7.9404000000000003</v>
          </cell>
        </row>
        <row r="1852">
          <cell r="A1852" t="str">
            <v>001.31.03000</v>
          </cell>
          <cell r="B1852" t="str">
            <v>Fornecimento e Instalação de Adaptador com Rosca e Flange para Caixa de Água de PVC 3/4 pol</v>
          </cell>
          <cell r="C1852" t="str">
            <v>UN</v>
          </cell>
          <cell r="D1852">
            <v>7.9404000000000003</v>
          </cell>
        </row>
        <row r="1853">
          <cell r="A1853" t="str">
            <v>001.31.03020</v>
          </cell>
          <cell r="B1853" t="str">
            <v>Fornecimento e Instalação de Adaptador com Rosca e Flange para Caixa de Água de PVC 1 pol</v>
          </cell>
          <cell r="C1853" t="str">
            <v>UN</v>
          </cell>
          <cell r="D1853">
            <v>11.830399999999999</v>
          </cell>
        </row>
        <row r="1854">
          <cell r="A1854" t="str">
            <v>001.31.03040</v>
          </cell>
          <cell r="B1854" t="str">
            <v>Fornecimento e Instalação de Adaptador com Rosca e Flange para Caixa de Água de PVC 2 pol</v>
          </cell>
          <cell r="C1854" t="str">
            <v>UN</v>
          </cell>
          <cell r="D1854">
            <v>10.417400000000001</v>
          </cell>
        </row>
        <row r="1855">
          <cell r="A1855" t="str">
            <v>001.31.03060</v>
          </cell>
          <cell r="B1855" t="str">
            <v>Fornecimento e Instalação de Adaptador com Rosca e Flange para Caixa de Água de PVC 3 pol</v>
          </cell>
          <cell r="C1855" t="str">
            <v>UN</v>
          </cell>
          <cell r="D1855">
            <v>57.2209</v>
          </cell>
        </row>
        <row r="1856">
          <cell r="A1856" t="str">
            <v>001.31.03080</v>
          </cell>
          <cell r="B1856" t="str">
            <v>Fornecimento e Instalação de Plug ou Bujão de PVC Rígido Rosqueável 1/2 """"""""""""""""</v>
          </cell>
          <cell r="C1856" t="str">
            <v>UN</v>
          </cell>
          <cell r="D1856">
            <v>0.95030000000000003</v>
          </cell>
        </row>
        <row r="1857">
          <cell r="A1857" t="str">
            <v>001.31.03100</v>
          </cell>
          <cell r="B1857" t="str">
            <v>Fornecimento e Instalação de Plug ou Bujão de PVC Rígido Rosqueável 3/4 """"""""""""""""</v>
          </cell>
          <cell r="C1857" t="str">
            <v>UN</v>
          </cell>
          <cell r="D1857">
            <v>1.0803</v>
          </cell>
        </row>
        <row r="1858">
          <cell r="A1858" t="str">
            <v>001.31.03120</v>
          </cell>
          <cell r="B1858" t="str">
            <v>Fornecimento e Instalação de Plug ou Bujão de PVC Rígido Rosqueável 1 """"""""""""""""</v>
          </cell>
          <cell r="C1858" t="str">
            <v>UN</v>
          </cell>
          <cell r="D1858">
            <v>1.0703</v>
          </cell>
        </row>
        <row r="1859">
          <cell r="A1859" t="str">
            <v>001.31.03140</v>
          </cell>
          <cell r="B1859" t="str">
            <v>Fornecimento e Instalação de Plug ou Bujão de PVC Rígido Rosqueável 1 1/4""""""""""""""""</v>
          </cell>
          <cell r="C1859" t="str">
            <v>UN</v>
          </cell>
          <cell r="D1859">
            <v>2.1387</v>
          </cell>
        </row>
        <row r="1860">
          <cell r="A1860" t="str">
            <v>001.31.03160</v>
          </cell>
          <cell r="B1860" t="str">
            <v>Fornecimento e Instalação de Plug ou Bujão de PVC Rígido Rosqueável 1 1/2""""""""""""""""</v>
          </cell>
          <cell r="C1860" t="str">
            <v>UN</v>
          </cell>
          <cell r="D1860">
            <v>4.0887000000000002</v>
          </cell>
        </row>
        <row r="1861">
          <cell r="A1861" t="str">
            <v>001.31.03180</v>
          </cell>
          <cell r="B1861" t="str">
            <v>Fornecimento e Instalação de Plug ou Bujão de PVC Rígido Rosqueável 2""""""""""""""""</v>
          </cell>
          <cell r="C1861" t="str">
            <v>UN</v>
          </cell>
          <cell r="D1861">
            <v>4.8186999999999998</v>
          </cell>
        </row>
        <row r="1862">
          <cell r="A1862" t="str">
            <v>001.31.03200</v>
          </cell>
          <cell r="B1862" t="str">
            <v>Fornecimento e Instalação de Mangueira Marron de PVC para Água de 3/4""""""""""""""""x2,5 mm de espessura</v>
          </cell>
          <cell r="C1862" t="str">
            <v>ML</v>
          </cell>
          <cell r="D1862">
            <v>1.1215999999999999</v>
          </cell>
        </row>
        <row r="1863">
          <cell r="A1863" t="str">
            <v>001.31.03220</v>
          </cell>
          <cell r="B1863" t="str">
            <v>Fornecimento e Instalação de Mangueira Marron de PVC para Água de  1""""""""""""""""x3,0 mm de espessura</v>
          </cell>
          <cell r="C1863" t="str">
            <v>ML</v>
          </cell>
          <cell r="D1863">
            <v>1.3741000000000001</v>
          </cell>
        </row>
        <row r="1864">
          <cell r="A1864" t="str">
            <v>001.31.03240</v>
          </cell>
          <cell r="B1864" t="str">
            <v>Fornecimento e Instalação de Joelho de Polietileno - 3/4"""""""""""""""" para Mangueira de Polietileno ou PVC Marron</v>
          </cell>
          <cell r="C1864" t="str">
            <v>UN</v>
          </cell>
          <cell r="D1864">
            <v>1.8006</v>
          </cell>
        </row>
        <row r="1865">
          <cell r="A1865" t="str">
            <v>001.31.03260</v>
          </cell>
          <cell r="B1865" t="str">
            <v>Fornecimento e Instalação de Joelho de Polietileno  - 1"""""""""""""""" para Mangueira de Polietileno ou PVC Marron</v>
          </cell>
          <cell r="C1865" t="str">
            <v>UN</v>
          </cell>
          <cell r="D1865">
            <v>2.2505999999999999</v>
          </cell>
        </row>
        <row r="1866">
          <cell r="A1866" t="str">
            <v>001.31.03280</v>
          </cell>
          <cell r="B1866" t="str">
            <v>Fornecimento e Instalação de Te de Polietileno - 3/4"""""""""""""""" para Mangueira de Polietileno ou PVC Marron</v>
          </cell>
          <cell r="C1866" t="str">
            <v>UN</v>
          </cell>
          <cell r="D1866">
            <v>2.8008999999999999</v>
          </cell>
        </row>
        <row r="1867">
          <cell r="A1867" t="str">
            <v>001.31.03300</v>
          </cell>
          <cell r="B1867" t="str">
            <v>Fornecimento e Instalação de Te de Polietileno  1""""""""""""""""- Para Mangueira de Polietileno ou PVC Marron</v>
          </cell>
          <cell r="C1867" t="str">
            <v>UN</v>
          </cell>
          <cell r="D1867">
            <v>3.6006</v>
          </cell>
        </row>
        <row r="1868">
          <cell r="A1868" t="str">
            <v>001.31.03320</v>
          </cell>
          <cell r="B1868" t="str">
            <v>Fornecimento e Instalação de Uniao de Polietileno - 3/4""""""""""""""""- Para Mangueira de Polietileno ou PVC Marron</v>
          </cell>
          <cell r="C1868" t="str">
            <v>UN</v>
          </cell>
          <cell r="D1868">
            <v>2.0005999999999999</v>
          </cell>
        </row>
        <row r="1869">
          <cell r="A1869" t="str">
            <v>001.31.03340</v>
          </cell>
          <cell r="B1869" t="str">
            <v>Fornecimento e Instalação de União de Polietileno  - 1""""""""""""""""-para Mangueira de Polietileno ou PVC Marron</v>
          </cell>
          <cell r="C1869" t="str">
            <v>UN</v>
          </cell>
          <cell r="D1869">
            <v>2.4005999999999998</v>
          </cell>
        </row>
        <row r="1870">
          <cell r="A1870" t="str">
            <v>001.31.03360</v>
          </cell>
          <cell r="B1870" t="str">
            <v>Fornecimento e Instalação de Adaptador de Polietileno  - 3/4""""""""""""""""- Para Mangueira de Polietileno ou PVC Marron</v>
          </cell>
          <cell r="C1870" t="str">
            <v>UN</v>
          </cell>
          <cell r="D1870">
            <v>2.1006</v>
          </cell>
        </row>
        <row r="1871">
          <cell r="A1871" t="str">
            <v>001.31.03380</v>
          </cell>
          <cell r="B1871" t="str">
            <v>Fornecimento e Instalação de Adaptador de Polietileno  - 1""""""""""""""""- Para Mangueira de Polietileno ou PVC Marron</v>
          </cell>
          <cell r="C1871" t="str">
            <v>UN</v>
          </cell>
          <cell r="D1871">
            <v>2.3006000000000002</v>
          </cell>
        </row>
        <row r="1872">
          <cell r="A1872" t="str">
            <v>001.32</v>
          </cell>
          <cell r="B1872" t="str">
            <v>INSTALAÇÕES HIDRÁULICAS - TUBO GALVANIZADO</v>
          </cell>
        </row>
        <row r="1873">
          <cell r="A1873" t="str">
            <v>001.32.00020</v>
          </cell>
          <cell r="B1873" t="str">
            <v>Fornecimento e Instalação de Tubo Ferro Galvanizado S/ Costura 4 Pol x  6.00 x 3.35mm</v>
          </cell>
          <cell r="C1873" t="str">
            <v>ML</v>
          </cell>
          <cell r="D1873">
            <v>87.704700000000003</v>
          </cell>
        </row>
        <row r="1874">
          <cell r="A1874" t="str">
            <v>001.32.00040</v>
          </cell>
          <cell r="B1874" t="str">
            <v>Fornecimento e Instalação de Tubo Ferro Galvanizado S/ Costura 3 Pol x  6.00 x 3.35mm</v>
          </cell>
          <cell r="C1874" t="str">
            <v>ML</v>
          </cell>
          <cell r="D1874">
            <v>61.187899999999999</v>
          </cell>
        </row>
        <row r="1875">
          <cell r="A1875" t="str">
            <v>001.32.00060</v>
          </cell>
          <cell r="B1875" t="str">
            <v>Fornecimento e Instalação de Tubo Ferro Galvanizado S/ Costura 2.5 Pol x  6.00 x 3.35mm</v>
          </cell>
          <cell r="C1875" t="str">
            <v>ML</v>
          </cell>
          <cell r="D1875">
            <v>51.085700000000003</v>
          </cell>
        </row>
        <row r="1876">
          <cell r="A1876" t="str">
            <v>001.32.00080</v>
          </cell>
          <cell r="B1876" t="str">
            <v>Fornecimento e Instalação de Tubo Ferro Galvanizado S/ Costura 2 Pol x  6.00 x 3.00mm</v>
          </cell>
          <cell r="C1876" t="str">
            <v>ML</v>
          </cell>
          <cell r="D1876">
            <v>36.714199999999998</v>
          </cell>
        </row>
        <row r="1877">
          <cell r="A1877" t="str">
            <v>001.32.00100</v>
          </cell>
          <cell r="B1877" t="str">
            <v>Fornecimento e Instalação de Tubo Ferro Galvanizado S/ Costura 1.5 Pol x  6.00 x 3.00mm</v>
          </cell>
          <cell r="C1877" t="str">
            <v>ML</v>
          </cell>
          <cell r="D1877">
            <v>28.346299999999999</v>
          </cell>
        </row>
        <row r="1878">
          <cell r="A1878" t="str">
            <v>001.32.00120</v>
          </cell>
          <cell r="B1878" t="str">
            <v>Fornecimento e Instalação de Tubo Ferro Galvanizado S/ Costura 1 1/4 Pol x 6.00 x 2.65mm</v>
          </cell>
          <cell r="C1878" t="str">
            <v>ML</v>
          </cell>
          <cell r="D1878">
            <v>23.331600000000002</v>
          </cell>
        </row>
        <row r="1879">
          <cell r="A1879" t="str">
            <v>001.32.00140</v>
          </cell>
          <cell r="B1879" t="str">
            <v>Fornecimento e Instalação de Tubo Ferro Galvanizado S/ Costura 1 Pol x 6.00 x 2.65mm</v>
          </cell>
          <cell r="C1879" t="str">
            <v>ML</v>
          </cell>
          <cell r="D1879">
            <v>18.504899999999999</v>
          </cell>
        </row>
        <row r="1880">
          <cell r="A1880" t="str">
            <v>001.32.00160</v>
          </cell>
          <cell r="B1880" t="str">
            <v>Fornecimento e Instalação de Tubo Ferro Galvanizado S/ Costura 3/4 Pol x 6.00 x 2.25mm</v>
          </cell>
          <cell r="C1880" t="str">
            <v>ML</v>
          </cell>
          <cell r="D1880">
            <v>12.9193</v>
          </cell>
        </row>
        <row r="1881">
          <cell r="A1881" t="str">
            <v>001.32.00180</v>
          </cell>
          <cell r="B1881" t="str">
            <v>Fornecimento e Instalação de Tubo Ferro Galvanizado S/ Costura 1/2 Pol x 6.00 x 2.25mm</v>
          </cell>
          <cell r="C1881" t="str">
            <v>ML</v>
          </cell>
          <cell r="D1881">
            <v>10.257899999999999</v>
          </cell>
        </row>
        <row r="1882">
          <cell r="A1882" t="str">
            <v>001.32.00200</v>
          </cell>
          <cell r="B1882" t="str">
            <v>Fornecimento e Instalação de Cotov.Redução de Ferro Galvanizado 90  2.5x2 Pol</v>
          </cell>
          <cell r="C1882" t="str">
            <v>UN</v>
          </cell>
          <cell r="D1882">
            <v>45.930399999999999</v>
          </cell>
        </row>
        <row r="1883">
          <cell r="A1883" t="str">
            <v>001.32.00220</v>
          </cell>
          <cell r="B1883" t="str">
            <v>Fornecimento e Instalação de Cotov.Redução de Ferro Galvanizado 90  2x1.5 Pol</v>
          </cell>
          <cell r="C1883" t="str">
            <v>UN</v>
          </cell>
          <cell r="D1883">
            <v>45.4587</v>
          </cell>
        </row>
        <row r="1884">
          <cell r="A1884" t="str">
            <v>001.32.00240</v>
          </cell>
          <cell r="B1884" t="str">
            <v>Fornecimento e Instalação de Cotov.Redução de Ferro Galvanizado 90° 1.5x1 1/4 Pol</v>
          </cell>
          <cell r="C1884" t="str">
            <v>UN</v>
          </cell>
          <cell r="D1884">
            <v>21.558700000000002</v>
          </cell>
        </row>
        <row r="1885">
          <cell r="A1885" t="str">
            <v>001.32.00260</v>
          </cell>
          <cell r="B1885" t="str">
            <v>Fornecimento e Instalação de Cotov.Redução de Ferro Galvanizado 90° 1.5x1pol</v>
          </cell>
          <cell r="C1885" t="str">
            <v>UN</v>
          </cell>
          <cell r="D1885">
            <v>13.5587</v>
          </cell>
        </row>
        <row r="1886">
          <cell r="A1886" t="str">
            <v>001.32.00280</v>
          </cell>
          <cell r="B1886" t="str">
            <v>Fornecimento e Instalação de Cotov.Redução de Ferro Galvanizado 90 1.5x3/4 Pol</v>
          </cell>
          <cell r="C1886" t="str">
            <v>UN</v>
          </cell>
          <cell r="D1886">
            <v>16.258700000000001</v>
          </cell>
        </row>
        <row r="1887">
          <cell r="A1887" t="str">
            <v>001.32.00300</v>
          </cell>
          <cell r="B1887" t="str">
            <v>Fornecimento e Instalação de Cotov.Redução de Ferro Galvanizado 90° 1 1/4x1 Pol</v>
          </cell>
          <cell r="C1887" t="str">
            <v>UN</v>
          </cell>
          <cell r="D1887">
            <v>10.0387</v>
          </cell>
        </row>
        <row r="1888">
          <cell r="A1888" t="str">
            <v>001.32.00320</v>
          </cell>
          <cell r="B1888" t="str">
            <v>Fornecimento e Instalação de Cotov.Redução de Ferro Galvanizado 90° 1 1/4x 3/4 Pol</v>
          </cell>
          <cell r="C1888" t="str">
            <v>UN</v>
          </cell>
          <cell r="D1888">
            <v>16.258700000000001</v>
          </cell>
        </row>
        <row r="1889">
          <cell r="A1889" t="str">
            <v>001.32.00340</v>
          </cell>
          <cell r="B1889" t="str">
            <v>Fornecimento e Instalação de Cotov.Redução de Ferro Galvanizado 90° 1x3/4 Pol</v>
          </cell>
          <cell r="C1889" t="str">
            <v>UN</v>
          </cell>
          <cell r="D1889">
            <v>6.6969000000000003</v>
          </cell>
        </row>
        <row r="1890">
          <cell r="A1890" t="str">
            <v>001.32.00360</v>
          </cell>
          <cell r="B1890" t="str">
            <v>Fornecimento e Instalação de Cotov.Redução de Ferro Galvanizado 90° 1x1/2 Pol</v>
          </cell>
          <cell r="C1890" t="str">
            <v>UN</v>
          </cell>
          <cell r="D1890">
            <v>6.6969000000000003</v>
          </cell>
        </row>
        <row r="1891">
          <cell r="A1891" t="str">
            <v>001.32.00380</v>
          </cell>
          <cell r="B1891" t="str">
            <v>Fornecimento e Instalação de Cotov.Redução de Ferro Galvanizado 90° 3/4x1/2 Pol</v>
          </cell>
          <cell r="C1891" t="str">
            <v>UN</v>
          </cell>
          <cell r="D1891">
            <v>4.3968999999999996</v>
          </cell>
        </row>
        <row r="1892">
          <cell r="A1892" t="str">
            <v>001.32.00400</v>
          </cell>
          <cell r="B1892" t="str">
            <v>Fornecimento e Instalação de Bucha Redução Ferro Galvanizado 4x3 Pol</v>
          </cell>
          <cell r="C1892" t="str">
            <v>UN</v>
          </cell>
          <cell r="D1892">
            <v>31.433800000000002</v>
          </cell>
        </row>
        <row r="1893">
          <cell r="A1893" t="str">
            <v>001.32.00420</v>
          </cell>
          <cell r="B1893" t="str">
            <v>Fornecimento e Instalação de Bucha Redução Ferro Galvanizado 4x2.5 Pol</v>
          </cell>
          <cell r="C1893" t="str">
            <v>UN</v>
          </cell>
          <cell r="D1893">
            <v>25.1038</v>
          </cell>
        </row>
        <row r="1894">
          <cell r="A1894" t="str">
            <v>001.32.00440</v>
          </cell>
          <cell r="B1894" t="str">
            <v>Fornecimento e Instalação de Bucha Redução Ferro Galvanizado 4x2 Pol</v>
          </cell>
          <cell r="C1894" t="str">
            <v>UN</v>
          </cell>
          <cell r="D1894">
            <v>31.433800000000002</v>
          </cell>
        </row>
        <row r="1895">
          <cell r="A1895" t="str">
            <v>001.32.00460</v>
          </cell>
          <cell r="B1895" t="str">
            <v>Fornecimento e Instalação de Bucha Redução Ferro Galvanizado 3x2.5 Pol</v>
          </cell>
          <cell r="C1895" t="str">
            <v>UN</v>
          </cell>
          <cell r="D1895">
            <v>18.9422</v>
          </cell>
        </row>
        <row r="1896">
          <cell r="A1896" t="str">
            <v>001.32.00480</v>
          </cell>
          <cell r="B1896" t="str">
            <v>Forneicmento e Instalação de Bucha Redução Ferro Galvanizado 3x2 Pol</v>
          </cell>
          <cell r="C1896" t="str">
            <v>UN</v>
          </cell>
          <cell r="D1896">
            <v>18.9422</v>
          </cell>
        </row>
        <row r="1897">
          <cell r="A1897" t="str">
            <v>001.32.00500</v>
          </cell>
          <cell r="B1897" t="str">
            <v>Fornecimento e Instalação de Bucha Redução Ferro Galvanizado 2.5x2 Pol</v>
          </cell>
          <cell r="C1897" t="str">
            <v>UN</v>
          </cell>
          <cell r="D1897">
            <v>12.5604</v>
          </cell>
        </row>
        <row r="1898">
          <cell r="A1898" t="str">
            <v>001.32.00520</v>
          </cell>
          <cell r="B1898" t="str">
            <v>Forneicmento e Instalação de Bucha Redução Ferro Galvanizado  2.5x1.5 Pol</v>
          </cell>
          <cell r="C1898" t="str">
            <v>UN</v>
          </cell>
          <cell r="D1898">
            <v>11.8704</v>
          </cell>
        </row>
        <row r="1899">
          <cell r="A1899" t="str">
            <v>001.32.00540</v>
          </cell>
          <cell r="B1899" t="str">
            <v>Fornecimento e Instalação de Bucha Redução Ferro Galvanizado 2.5x1 1/4 Pol</v>
          </cell>
          <cell r="C1899" t="str">
            <v>UN</v>
          </cell>
          <cell r="D1899">
            <v>10.010400000000001</v>
          </cell>
        </row>
        <row r="1900">
          <cell r="A1900" t="str">
            <v>001.32.00560</v>
          </cell>
          <cell r="B1900" t="str">
            <v>Fornecimento e Instalação de Bucha Redução Ferro Galvanizado. 2x1.5 Pol</v>
          </cell>
          <cell r="C1900" t="str">
            <v>UN</v>
          </cell>
          <cell r="D1900">
            <v>8.6087000000000007</v>
          </cell>
        </row>
        <row r="1901">
          <cell r="A1901" t="str">
            <v>001.32.00580</v>
          </cell>
          <cell r="B1901" t="str">
            <v>Fornecimento e Instalação de Bucha Redução Ferro Galvanizado 2x1 1/4 Pol</v>
          </cell>
          <cell r="C1901" t="str">
            <v>UN</v>
          </cell>
          <cell r="D1901">
            <v>8.2586999999999993</v>
          </cell>
        </row>
        <row r="1902">
          <cell r="A1902" t="str">
            <v>001.32.00600</v>
          </cell>
          <cell r="B1902" t="str">
            <v>Fornecimento e Instalação de Bucha Redução Ferro Galvanizado 2x1 Pol</v>
          </cell>
          <cell r="C1902" t="str">
            <v>UN</v>
          </cell>
          <cell r="D1902">
            <v>8.5487000000000002</v>
          </cell>
        </row>
        <row r="1903">
          <cell r="A1903" t="str">
            <v>001.32.00620</v>
          </cell>
          <cell r="B1903" t="str">
            <v>Fornecimento e Instalação de Bucha Redução Ferro Galvanizado 2x3/4 Pol</v>
          </cell>
          <cell r="C1903" t="str">
            <v>UN</v>
          </cell>
          <cell r="D1903">
            <v>8.5487000000000002</v>
          </cell>
        </row>
        <row r="1904">
          <cell r="A1904" t="str">
            <v>001.32.00640</v>
          </cell>
          <cell r="B1904" t="str">
            <v>Fornecimento e Instalação de Bucha Redução Ferro Galvanizado 1.5x1 1/4 Pol</v>
          </cell>
          <cell r="C1904" t="str">
            <v>UN</v>
          </cell>
          <cell r="D1904">
            <v>6.5887000000000002</v>
          </cell>
        </row>
        <row r="1905">
          <cell r="A1905" t="str">
            <v>001.32.00660</v>
          </cell>
          <cell r="B1905" t="str">
            <v>Fornecimento e Instalação de Bucha Redução Ferro Galvanizado 1.5x1 Pol</v>
          </cell>
          <cell r="C1905" t="str">
            <v>UN</v>
          </cell>
          <cell r="D1905">
            <v>6.2987000000000002</v>
          </cell>
        </row>
        <row r="1906">
          <cell r="A1906" t="str">
            <v>001.32.00680</v>
          </cell>
          <cell r="B1906" t="str">
            <v>Fornecimento e Instalação de Bucha Redução Ferro Galvanizado 1.5x3/4 Pol</v>
          </cell>
          <cell r="C1906" t="str">
            <v>UN</v>
          </cell>
          <cell r="D1906">
            <v>6.5686999999999998</v>
          </cell>
        </row>
        <row r="1907">
          <cell r="A1907" t="str">
            <v>001.32.00700</v>
          </cell>
          <cell r="B1907" t="str">
            <v>Fornecimento e Instalação de Bucha Redução Ferro Galvanizado 1 1/4x1 Pol</v>
          </cell>
          <cell r="C1907" t="str">
            <v>UN</v>
          </cell>
          <cell r="D1907">
            <v>5.8887</v>
          </cell>
        </row>
        <row r="1908">
          <cell r="A1908" t="str">
            <v>001.32.00720</v>
          </cell>
          <cell r="B1908" t="str">
            <v>Fornecimento e Instalação de Bucha Redução Ferro Galvanizado 1 1/4x3/4 Pol</v>
          </cell>
          <cell r="C1908" t="str">
            <v>UN</v>
          </cell>
          <cell r="D1908">
            <v>5.8986999999999998</v>
          </cell>
        </row>
        <row r="1909">
          <cell r="A1909" t="str">
            <v>001.32.00740</v>
          </cell>
          <cell r="B1909" t="str">
            <v>Fornecimento e Instalação de Bucha Redução Ferro Galvanizado 1 1/4x1/2 Pol</v>
          </cell>
          <cell r="C1909" t="str">
            <v>UN</v>
          </cell>
          <cell r="D1909">
            <v>5.5987</v>
          </cell>
        </row>
        <row r="1910">
          <cell r="A1910" t="str">
            <v>001.32.00760</v>
          </cell>
          <cell r="B1910" t="str">
            <v>Fornecimento e Instalação de Bucha Redução Ferro Galvanizado 1x3/4 Pol</v>
          </cell>
          <cell r="C1910" t="str">
            <v>UN</v>
          </cell>
          <cell r="D1910">
            <v>4.0968999999999998</v>
          </cell>
        </row>
        <row r="1911">
          <cell r="A1911" t="str">
            <v>001.32.00780</v>
          </cell>
          <cell r="B1911" t="str">
            <v>Fornecimento e Instalação de Bucha Redução Ferro Galvanizado 1x1/2 Pol</v>
          </cell>
          <cell r="C1911" t="str">
            <v>UN</v>
          </cell>
          <cell r="D1911">
            <v>4.0669000000000004</v>
          </cell>
        </row>
        <row r="1912">
          <cell r="A1912" t="str">
            <v>001.32.00800</v>
          </cell>
          <cell r="B1912" t="str">
            <v>Fornecimento e Instalação de Bucha Redução Ferro Galvanizado 3/4x1/2 Pol</v>
          </cell>
          <cell r="C1912" t="str">
            <v>UN</v>
          </cell>
          <cell r="D1912">
            <v>3.4468999999999999</v>
          </cell>
        </row>
        <row r="1913">
          <cell r="A1913" t="str">
            <v>001.32.00820</v>
          </cell>
          <cell r="B1913" t="str">
            <v>Fornecimento e Instalação de Luva De Redução De Ferro Galvanizado 4x3 Pol</v>
          </cell>
          <cell r="C1913" t="str">
            <v>UN</v>
          </cell>
          <cell r="D1913">
            <v>31.7438</v>
          </cell>
        </row>
        <row r="1914">
          <cell r="A1914" t="str">
            <v>001.32.00840</v>
          </cell>
          <cell r="B1914" t="str">
            <v>Fornecimento e Instalação de Luva De Redução De Ferro Galvanizado 4x2.5 Pol</v>
          </cell>
          <cell r="C1914" t="str">
            <v>UN</v>
          </cell>
          <cell r="D1914">
            <v>23.463799999999999</v>
          </cell>
        </row>
        <row r="1915">
          <cell r="A1915" t="str">
            <v>001.32.00860</v>
          </cell>
          <cell r="B1915" t="str">
            <v>Fornecimento e Instalação de Luva De Redução De Ferro Galvanizado 4x2 Pol</v>
          </cell>
          <cell r="C1915" t="str">
            <v>UN</v>
          </cell>
          <cell r="D1915">
            <v>31.7438</v>
          </cell>
        </row>
        <row r="1916">
          <cell r="A1916" t="str">
            <v>001.32.00880</v>
          </cell>
          <cell r="B1916" t="str">
            <v>Fornecimento e Instalação de Luva De Redução De Ferro Galvanizado 3x2.5 Pol</v>
          </cell>
          <cell r="C1916" t="str">
            <v>UN</v>
          </cell>
          <cell r="D1916">
            <v>22.502199999999998</v>
          </cell>
        </row>
        <row r="1917">
          <cell r="A1917" t="str">
            <v>001.32.00900</v>
          </cell>
          <cell r="B1917" t="str">
            <v>Fornecimento e Instalação de Luva De Redução De Ferro Galvanizado 3x2 Pol</v>
          </cell>
          <cell r="C1917" t="str">
            <v>UN</v>
          </cell>
          <cell r="D1917">
            <v>22.502199999999998</v>
          </cell>
        </row>
        <row r="1918">
          <cell r="A1918" t="str">
            <v>001.32.00920</v>
          </cell>
          <cell r="B1918" t="str">
            <v>Fornecimento e Instalação de Luva De Redução De Ferro Galvanizado 3x1.5 Pol</v>
          </cell>
          <cell r="C1918" t="str">
            <v>UN</v>
          </cell>
          <cell r="D1918">
            <v>22.502199999999998</v>
          </cell>
        </row>
        <row r="1919">
          <cell r="A1919" t="str">
            <v>001.32.00940</v>
          </cell>
          <cell r="B1919" t="str">
            <v>Fornecimento e Instalação de Luva De Redução De Ferro Galvanizado 2.5x2 Pol</v>
          </cell>
          <cell r="C1919" t="str">
            <v>UN</v>
          </cell>
          <cell r="D1919">
            <v>12.1304</v>
          </cell>
        </row>
        <row r="1920">
          <cell r="A1920" t="str">
            <v>001.32.00960</v>
          </cell>
          <cell r="B1920" t="str">
            <v>Fornecimento e Instalação de Luva De Redução De Ferro Galvanizado 2.5x1 1/4 Pol</v>
          </cell>
          <cell r="C1920" t="str">
            <v>UN</v>
          </cell>
          <cell r="D1920">
            <v>12.1304</v>
          </cell>
        </row>
        <row r="1921">
          <cell r="A1921" t="str">
            <v>001.32.00980</v>
          </cell>
          <cell r="B1921" t="str">
            <v>Fornecimento e Instalação de Luva De Redução De Ferro Galvanizado 2.5x1.5 Pol</v>
          </cell>
          <cell r="C1921" t="str">
            <v>UN</v>
          </cell>
          <cell r="D1921">
            <v>12.1304</v>
          </cell>
        </row>
        <row r="1922">
          <cell r="A1922" t="str">
            <v>001.32.01000</v>
          </cell>
          <cell r="B1922" t="str">
            <v>Fornecimento e Instalação de Luva De Redução De Ferro Galvanizado 2x1 1/4 Pol</v>
          </cell>
          <cell r="C1922" t="str">
            <v>UN</v>
          </cell>
          <cell r="D1922">
            <v>12.1304</v>
          </cell>
        </row>
        <row r="1923">
          <cell r="A1923" t="str">
            <v>001.32.01020</v>
          </cell>
          <cell r="B1923" t="str">
            <v>Fornecimento e Instalação de Luva De Redução De Ferro Galvanizado 2x1 Pol</v>
          </cell>
          <cell r="C1923" t="str">
            <v>UN</v>
          </cell>
          <cell r="D1923">
            <v>11.6587</v>
          </cell>
        </row>
        <row r="1924">
          <cell r="A1924" t="str">
            <v>001.32.01040</v>
          </cell>
          <cell r="B1924" t="str">
            <v>Fornecimento e Instalação de Luva De Redução De Ferro Galvanizado 1.5x1 Pol</v>
          </cell>
          <cell r="C1924" t="str">
            <v>UN</v>
          </cell>
          <cell r="D1924">
            <v>7.8586999999999998</v>
          </cell>
        </row>
        <row r="1925">
          <cell r="A1925" t="str">
            <v>001.32.01060</v>
          </cell>
          <cell r="B1925" t="str">
            <v>Fornecimento e Instalação de Luva De Redução De Ferro Galvanizado 11/4x1 Pol</v>
          </cell>
          <cell r="C1925" t="str">
            <v>UN</v>
          </cell>
          <cell r="D1925">
            <v>7.0587</v>
          </cell>
        </row>
        <row r="1926">
          <cell r="A1926" t="str">
            <v>001.32.01080</v>
          </cell>
          <cell r="B1926" t="str">
            <v>Fornecimento e Instalação de Luva De Redução De Ferro Galvanizado  1 1/4x3/4 Pol</v>
          </cell>
          <cell r="C1926" t="str">
            <v>UN</v>
          </cell>
          <cell r="D1926">
            <v>7.0587</v>
          </cell>
        </row>
        <row r="1927">
          <cell r="A1927" t="str">
            <v>001.32.01100</v>
          </cell>
          <cell r="B1927" t="str">
            <v>Fornecimento e Instalação de Luva De Redução De Ferro Galvanizado  1 1/4x1/2 Pol</v>
          </cell>
          <cell r="C1927" t="str">
            <v>UN</v>
          </cell>
          <cell r="D1927">
            <v>7.0587</v>
          </cell>
        </row>
        <row r="1928">
          <cell r="A1928" t="str">
            <v>001.32.01120</v>
          </cell>
          <cell r="B1928" t="str">
            <v>Fornecimento e Instalação de Luva De Redução De Ferro Galvanizado 1x3/4 Pol</v>
          </cell>
          <cell r="C1928" t="str">
            <v>UN</v>
          </cell>
          <cell r="D1928">
            <v>5.1868999999999996</v>
          </cell>
        </row>
        <row r="1929">
          <cell r="A1929" t="str">
            <v>001.32.01140</v>
          </cell>
          <cell r="B1929" t="str">
            <v>Fornecimento e Instalação de Luva De Redução De Ferro Galvanizado  1x1/2 Pol</v>
          </cell>
          <cell r="C1929" t="str">
            <v>UN</v>
          </cell>
          <cell r="D1929">
            <v>4.7869000000000002</v>
          </cell>
        </row>
        <row r="1930">
          <cell r="A1930" t="str">
            <v>001.32.01160</v>
          </cell>
          <cell r="B1930" t="str">
            <v>Fornecimento e Instalação de Luva De Redução De Ferro Galvanizado  3/4x1/2 Pol</v>
          </cell>
          <cell r="C1930" t="str">
            <v>UN</v>
          </cell>
          <cell r="D1930">
            <v>3.9868999999999999</v>
          </cell>
        </row>
        <row r="1931">
          <cell r="A1931" t="str">
            <v>001.32.01180</v>
          </cell>
          <cell r="B1931" t="str">
            <v>Fornecimento e Instalação de Cotov. De Ferro Galvanizado 90° 4 Pol</v>
          </cell>
          <cell r="C1931" t="str">
            <v>UN</v>
          </cell>
          <cell r="D1931">
            <v>50.463799999999999</v>
          </cell>
        </row>
        <row r="1932">
          <cell r="A1932" t="str">
            <v>001.32.01200</v>
          </cell>
          <cell r="B1932" t="str">
            <v>Fornecimento e Instalação de Cotov. De Ferro Galvanizado. 90° 3 Pol</v>
          </cell>
          <cell r="C1932" t="str">
            <v>UN</v>
          </cell>
          <cell r="D1932">
            <v>31.2822</v>
          </cell>
        </row>
        <row r="1933">
          <cell r="A1933" t="str">
            <v>001.32.01220</v>
          </cell>
          <cell r="B1933" t="str">
            <v>Fornecimento e Instalação de Cotov. De Ferro Galvanizado 90° 2.5 Pol</v>
          </cell>
          <cell r="C1933" t="str">
            <v>UN</v>
          </cell>
          <cell r="D1933">
            <v>21.610399999999998</v>
          </cell>
        </row>
        <row r="1934">
          <cell r="A1934" t="str">
            <v>001.32.01240</v>
          </cell>
          <cell r="B1934" t="str">
            <v>Fornecimento e Instalação de Cotov. De Ferro Galvanizado 90° 2 Pol</v>
          </cell>
          <cell r="C1934" t="str">
            <v>UN</v>
          </cell>
          <cell r="D1934">
            <v>12.9587</v>
          </cell>
        </row>
        <row r="1935">
          <cell r="A1935" t="str">
            <v>001.32.01260</v>
          </cell>
          <cell r="B1935" t="str">
            <v>Fornecimento e Instalação de Cotov. De Ferro Galvanizado 90° 1.5 Pol</v>
          </cell>
          <cell r="C1935" t="str">
            <v>UN</v>
          </cell>
          <cell r="D1935">
            <v>12.858700000000001</v>
          </cell>
        </row>
        <row r="1936">
          <cell r="A1936" t="str">
            <v>001.32.01280</v>
          </cell>
          <cell r="B1936" t="str">
            <v>Fornecimento e Instalação de Cotov. De Ferro Galvanizado 90°  1 1/4 Pol</v>
          </cell>
          <cell r="C1936" t="str">
            <v>UN</v>
          </cell>
          <cell r="D1936">
            <v>10.0387</v>
          </cell>
        </row>
        <row r="1937">
          <cell r="A1937" t="str">
            <v>001.32.01300</v>
          </cell>
          <cell r="B1937" t="str">
            <v>Fornecimento e Instalação de Cotov. De Ferro Galvanizado 90° 1 Pol</v>
          </cell>
          <cell r="C1937" t="str">
            <v>UN</v>
          </cell>
          <cell r="D1937">
            <v>6.6969000000000003</v>
          </cell>
        </row>
        <row r="1938">
          <cell r="A1938" t="str">
            <v>001.32.01320</v>
          </cell>
          <cell r="B1938" t="str">
            <v>Fornecimento e Instalação de Cotov. De Ferro Galvanizado 90°  3/4 Pol</v>
          </cell>
          <cell r="C1938" t="str">
            <v>UN</v>
          </cell>
          <cell r="D1938">
            <v>4.0968999999999998</v>
          </cell>
        </row>
        <row r="1939">
          <cell r="A1939" t="str">
            <v>001.32.01340</v>
          </cell>
          <cell r="B1939" t="str">
            <v>Fornecimento e Instalação de Cotov. De Ferro Galvanizado 90° 1/2 Pol</v>
          </cell>
          <cell r="C1939" t="str">
            <v>UN</v>
          </cell>
          <cell r="D1939">
            <v>3.5769000000000002</v>
          </cell>
        </row>
        <row r="1940">
          <cell r="A1940" t="str">
            <v>001.32.01360</v>
          </cell>
          <cell r="B1940" t="str">
            <v>Fornecimento e Instalação de Tee De Ferro Galvanizado 4 Pol</v>
          </cell>
          <cell r="C1940" t="str">
            <v>UN</v>
          </cell>
          <cell r="D1940">
            <v>54.617400000000004</v>
          </cell>
        </row>
        <row r="1941">
          <cell r="A1941" t="str">
            <v>001.32.01380</v>
          </cell>
          <cell r="B1941" t="str">
            <v>Fornecimento e Instalação de Tee De Ferro Galvanizado 3 Pol</v>
          </cell>
          <cell r="C1941" t="str">
            <v>UN</v>
          </cell>
          <cell r="D1941">
            <v>39.745600000000003</v>
          </cell>
        </row>
        <row r="1942">
          <cell r="A1942" t="str">
            <v>001.32.01400</v>
          </cell>
          <cell r="B1942" t="str">
            <v>Fornecimento e Instalação de Tee De Ferro Galvanizado 2.5 Pol</v>
          </cell>
          <cell r="C1942" t="str">
            <v>UN</v>
          </cell>
          <cell r="D1942">
            <v>30.273800000000001</v>
          </cell>
        </row>
        <row r="1943">
          <cell r="A1943" t="str">
            <v>001.32.01420</v>
          </cell>
          <cell r="B1943" t="str">
            <v>Fornecimento e Instalação de Tee De Ferro Galvanizado 2 Pol</v>
          </cell>
          <cell r="C1943" t="str">
            <v>UN</v>
          </cell>
          <cell r="D1943">
            <v>17.321999999999999</v>
          </cell>
        </row>
        <row r="1944">
          <cell r="A1944" t="str">
            <v>001.32.01440</v>
          </cell>
          <cell r="B1944" t="str">
            <v>Fornecimento e Instalação de Tee De Ferro Galvanizado 1.5 Pol</v>
          </cell>
          <cell r="C1944" t="str">
            <v>UN</v>
          </cell>
          <cell r="D1944">
            <v>11.8522</v>
          </cell>
        </row>
        <row r="1945">
          <cell r="A1945" t="str">
            <v>001.32.01460</v>
          </cell>
          <cell r="B1945" t="str">
            <v>Fornecimento e Instalação de Tee De Ferro Galvanizado 1 1/4 Pol</v>
          </cell>
          <cell r="C1945" t="str">
            <v>UN</v>
          </cell>
          <cell r="D1945">
            <v>10.702199999999999</v>
          </cell>
        </row>
        <row r="1946">
          <cell r="A1946" t="str">
            <v>001.32.01480</v>
          </cell>
          <cell r="B1946" t="str">
            <v>Fornecimento e Instalação de Tee De Ferro Galvanizado 1 Pol</v>
          </cell>
          <cell r="C1946" t="str">
            <v>UN</v>
          </cell>
          <cell r="D1946">
            <v>7.5804</v>
          </cell>
        </row>
        <row r="1947">
          <cell r="A1947" t="str">
            <v>001.32.01500</v>
          </cell>
          <cell r="B1947" t="str">
            <v>Fornecimento e Instalação de Tee De Ferro Galvanizado 3/4 Pol</v>
          </cell>
          <cell r="C1947" t="str">
            <v>UN</v>
          </cell>
          <cell r="D1947">
            <v>5.5304000000000002</v>
          </cell>
        </row>
        <row r="1948">
          <cell r="A1948" t="str">
            <v>001.32.01520</v>
          </cell>
          <cell r="B1948" t="str">
            <v>Fornecimento e Instalação de Tee De Ferro Galvanizado 1/2 Pol</v>
          </cell>
          <cell r="C1948" t="str">
            <v>UN</v>
          </cell>
          <cell r="D1948">
            <v>4.1703999999999999</v>
          </cell>
        </row>
        <row r="1949">
          <cell r="A1949" t="str">
            <v>001.32.01540</v>
          </cell>
          <cell r="B1949" t="str">
            <v>Fornecimento e Instalação de Tee Redução De Ferro Galvanizado 4x3 Pol</v>
          </cell>
          <cell r="C1949" t="str">
            <v>UN</v>
          </cell>
          <cell r="D1949">
            <v>90.217399999999998</v>
          </cell>
        </row>
        <row r="1950">
          <cell r="A1950" t="str">
            <v>001.32.01560</v>
          </cell>
          <cell r="B1950" t="str">
            <v>Fornecimento e Instalação de Tee Redução De Ferro Galvanizado 4x2 Pol</v>
          </cell>
          <cell r="C1950" t="str">
            <v>UN</v>
          </cell>
          <cell r="D1950">
            <v>90.217399999999998</v>
          </cell>
        </row>
        <row r="1951">
          <cell r="A1951" t="str">
            <v>001.32.01580</v>
          </cell>
          <cell r="B1951" t="str">
            <v>Fornecimento e Instalação de Tee Redução De Ferro Galvanizado 3x2.5 Pol</v>
          </cell>
          <cell r="C1951" t="str">
            <v>UN</v>
          </cell>
          <cell r="D1951">
            <v>49.245600000000003</v>
          </cell>
        </row>
        <row r="1952">
          <cell r="A1952" t="str">
            <v>001.32.01600</v>
          </cell>
          <cell r="B1952" t="str">
            <v>Fornecimento e Instalação de Tee Redução De Ferro Galvanizado 3x2 Pol</v>
          </cell>
          <cell r="C1952" t="str">
            <v>UN</v>
          </cell>
          <cell r="D1952">
            <v>31.645600000000002</v>
          </cell>
        </row>
        <row r="1953">
          <cell r="A1953" t="str">
            <v>001.32.01620</v>
          </cell>
          <cell r="B1953" t="str">
            <v>Fornecimento e Instalação de Tee Redução De Ferro Galvanizado 3x1.5 Pol</v>
          </cell>
          <cell r="C1953" t="str">
            <v>UN</v>
          </cell>
          <cell r="D1953">
            <v>31.645600000000002</v>
          </cell>
        </row>
        <row r="1954">
          <cell r="A1954" t="str">
            <v>001.32.01640</v>
          </cell>
          <cell r="B1954" t="str">
            <v>Fornecimento e Instalação de Tee Redução De Ferro Galvanizado 2.5x2 Pol</v>
          </cell>
          <cell r="C1954" t="str">
            <v>UN</v>
          </cell>
          <cell r="D1954">
            <v>38.213799999999999</v>
          </cell>
        </row>
        <row r="1955">
          <cell r="A1955" t="str">
            <v>001.32.01660</v>
          </cell>
          <cell r="B1955" t="str">
            <v>Fornecimento e Instalação de Tee Redução De Ferro Galvanizado 2.5x1 1/4 Pol</v>
          </cell>
          <cell r="C1955" t="str">
            <v>UN</v>
          </cell>
          <cell r="D1955">
            <v>26.273800000000001</v>
          </cell>
        </row>
        <row r="1956">
          <cell r="A1956" t="str">
            <v>001.32.01680</v>
          </cell>
          <cell r="B1956" t="str">
            <v>Fornecimento e Instalação de Tee Redução De Ferro Galvanizado 2x11/2pol</v>
          </cell>
          <cell r="C1956" t="str">
            <v>UN</v>
          </cell>
          <cell r="D1956">
            <v>14.723800000000001</v>
          </cell>
        </row>
        <row r="1957">
          <cell r="A1957" t="str">
            <v>001.32.01700</v>
          </cell>
          <cell r="B1957" t="str">
            <v>Fornecimento e Instalação de Tee Redução De Ferro Galvanizado 2x11/4pol</v>
          </cell>
          <cell r="C1957" t="str">
            <v>UN</v>
          </cell>
          <cell r="D1957">
            <v>17.723800000000001</v>
          </cell>
        </row>
        <row r="1958">
          <cell r="A1958" t="str">
            <v>001.32.01720</v>
          </cell>
          <cell r="B1958" t="str">
            <v>Fornecimento e Instalação de Tee Redução De Ferro Galvanizado 2x1 Pol</v>
          </cell>
          <cell r="C1958" t="str">
            <v>UN</v>
          </cell>
          <cell r="D1958">
            <v>13.802199999999999</v>
          </cell>
        </row>
        <row r="1959">
          <cell r="A1959" t="str">
            <v>001.32.01740</v>
          </cell>
          <cell r="B1959" t="str">
            <v>Fornecimento e Instalação de Tee Redução De Ferro Galvanizado 1.5 X 1.1/4 Pol</v>
          </cell>
          <cell r="C1959" t="str">
            <v>UN</v>
          </cell>
          <cell r="D1959">
            <v>9.8721999999999994</v>
          </cell>
        </row>
        <row r="1960">
          <cell r="A1960" t="str">
            <v>001.32.01760</v>
          </cell>
          <cell r="B1960" t="str">
            <v>Fornecimento e Instalação de Tee Redução De Ferro Galvanizado 1.5 X 1 Pol</v>
          </cell>
          <cell r="C1960" t="str">
            <v>UN</v>
          </cell>
          <cell r="D1960">
            <v>14.122199999999999</v>
          </cell>
        </row>
        <row r="1961">
          <cell r="A1961" t="str">
            <v>001.32.01780</v>
          </cell>
          <cell r="B1961" t="str">
            <v>Fornecimento e Instalação de Tee Redução De Ferro Galvanizado 1.5x3/4 Pol</v>
          </cell>
          <cell r="C1961" t="str">
            <v>UN</v>
          </cell>
          <cell r="D1961">
            <v>10.5922</v>
          </cell>
        </row>
        <row r="1962">
          <cell r="A1962" t="str">
            <v>001.32.01800</v>
          </cell>
          <cell r="B1962" t="str">
            <v>Fornecimento e Instalação de Tee Redução De Ferro Galvanizado 1 1/4x1 Pol</v>
          </cell>
          <cell r="C1962" t="str">
            <v>UN</v>
          </cell>
          <cell r="D1962">
            <v>9.5022000000000002</v>
          </cell>
        </row>
        <row r="1963">
          <cell r="A1963" t="str">
            <v>001.32.01820</v>
          </cell>
          <cell r="B1963" t="str">
            <v>Fornecimento e Instalação de Tee Redução De Ferro Galvanizado 1 1/4x3/4 Pol</v>
          </cell>
          <cell r="C1963" t="str">
            <v>UN</v>
          </cell>
          <cell r="D1963">
            <v>9.5022000000000002</v>
          </cell>
        </row>
        <row r="1964">
          <cell r="A1964" t="str">
            <v>001.32.01840</v>
          </cell>
          <cell r="B1964" t="str">
            <v>Fornecimento e Instalação de Tee Redução De Ferro Galvanizado 1 1/4x1/2 Pol</v>
          </cell>
          <cell r="C1964" t="str">
            <v>UN</v>
          </cell>
          <cell r="D1964">
            <v>8.6021999999999998</v>
          </cell>
        </row>
        <row r="1965">
          <cell r="A1965" t="str">
            <v>001.32.01860</v>
          </cell>
          <cell r="B1965" t="str">
            <v>Fornecimento e Instalação de Tee Redução De Ferro Galvanizado 1x3/4 Pol</v>
          </cell>
          <cell r="C1965" t="str">
            <v>UN</v>
          </cell>
          <cell r="D1965">
            <v>5.8704000000000001</v>
          </cell>
        </row>
        <row r="1966">
          <cell r="A1966" t="str">
            <v>001.32.01880</v>
          </cell>
          <cell r="B1966" t="str">
            <v>Fornecimento e Instalação de Tee Redução De Ferro Galvanizado 1x1/2 Pol</v>
          </cell>
          <cell r="C1966" t="str">
            <v>UN</v>
          </cell>
          <cell r="D1966">
            <v>8.6204000000000001</v>
          </cell>
        </row>
        <row r="1967">
          <cell r="A1967" t="str">
            <v>001.32.01900</v>
          </cell>
          <cell r="B1967" t="str">
            <v>Fornecimento e Instalação de Tee Redução De Ferro Galvanizado 3/4x1/2 Pol</v>
          </cell>
          <cell r="C1967" t="str">
            <v>UN</v>
          </cell>
          <cell r="D1967">
            <v>4.4703999999999997</v>
          </cell>
        </row>
        <row r="1968">
          <cell r="A1968" t="str">
            <v>001.32.01920</v>
          </cell>
          <cell r="B1968" t="str">
            <v>Fornecimento e Instalação de Luva Simples De Ferro Galvanizado 4 Pol</v>
          </cell>
          <cell r="C1968" t="str">
            <v>UN</v>
          </cell>
          <cell r="D1968">
            <v>33.723799999999997</v>
          </cell>
        </row>
        <row r="1969">
          <cell r="A1969" t="str">
            <v>001.32.01940</v>
          </cell>
          <cell r="B1969" t="str">
            <v>Fornecimento e Instalação de Luva Simples De Ferro Galvanizado 3 Pol</v>
          </cell>
          <cell r="C1969" t="str">
            <v>UN</v>
          </cell>
          <cell r="D1969">
            <v>26.202200000000001</v>
          </cell>
        </row>
        <row r="1970">
          <cell r="A1970" t="str">
            <v>001.32.01960</v>
          </cell>
          <cell r="B1970" t="str">
            <v>Fornecimento e Instalação de Luva Simples De Ferro Galvanizado 2.5 Pol</v>
          </cell>
          <cell r="C1970" t="str">
            <v>UN</v>
          </cell>
          <cell r="D1970">
            <v>18.330400000000001</v>
          </cell>
        </row>
        <row r="1971">
          <cell r="A1971" t="str">
            <v>001.32.01980</v>
          </cell>
          <cell r="B1971" t="str">
            <v>Fornecimento e Instalação de Luva Simples De Ferro Galvanizado 2 Pol</v>
          </cell>
          <cell r="C1971" t="str">
            <v>UN</v>
          </cell>
          <cell r="D1971">
            <v>10.4587</v>
          </cell>
        </row>
        <row r="1972">
          <cell r="A1972" t="str">
            <v>001.32.02000</v>
          </cell>
          <cell r="B1972" t="str">
            <v>Fornecimento e Instalação de Luva Simples De Ferro Galvanizado 1.5 Pol</v>
          </cell>
          <cell r="C1972" t="str">
            <v>UN</v>
          </cell>
          <cell r="D1972">
            <v>7.8586999999999998</v>
          </cell>
        </row>
        <row r="1973">
          <cell r="A1973" t="str">
            <v>001.32.02020</v>
          </cell>
          <cell r="B1973" t="str">
            <v>Fornecimento e Instalação de Luva Simples De Ferro Galvanizado 1 1/4/Pol</v>
          </cell>
          <cell r="C1973" t="str">
            <v>UN</v>
          </cell>
          <cell r="D1973">
            <v>6.3087</v>
          </cell>
        </row>
        <row r="1974">
          <cell r="A1974" t="str">
            <v>001.32.02040</v>
          </cell>
          <cell r="B1974" t="str">
            <v>Fornecimento e Instalação de Luva Simples De Ferro Galvanizado 1 Pol</v>
          </cell>
          <cell r="C1974" t="str">
            <v>UN</v>
          </cell>
          <cell r="D1974">
            <v>5.0369000000000002</v>
          </cell>
        </row>
        <row r="1975">
          <cell r="A1975" t="str">
            <v>001.32.02060</v>
          </cell>
          <cell r="B1975" t="str">
            <v>Fornecimento e Instalação de Luva Simples De Ferro Galvanizado 3/4 Pol</v>
          </cell>
          <cell r="C1975" t="str">
            <v>UN</v>
          </cell>
          <cell r="D1975">
            <v>3.8369</v>
          </cell>
        </row>
        <row r="1976">
          <cell r="A1976" t="str">
            <v>001.32.02080</v>
          </cell>
          <cell r="B1976" t="str">
            <v>Fornecimento e Instalação de Luva Simples De Ferro Galvanizado 1/2 Pol</v>
          </cell>
          <cell r="C1976" t="str">
            <v>UN</v>
          </cell>
          <cell r="D1976">
            <v>3.1368999999999998</v>
          </cell>
        </row>
        <row r="1977">
          <cell r="A1977" t="str">
            <v>001.32.02100</v>
          </cell>
          <cell r="B1977" t="str">
            <v>Fornecimento e Instalação de União Assento Plano De Ferro Galvanizado 4 Pol</v>
          </cell>
          <cell r="C1977" t="str">
            <v>UN</v>
          </cell>
          <cell r="D1977">
            <v>56.273800000000001</v>
          </cell>
        </row>
        <row r="1978">
          <cell r="A1978" t="str">
            <v>001.32.02120</v>
          </cell>
          <cell r="B1978" t="str">
            <v>Fornecimento e Instalação de União Assento Plano De Ferro Galvanizado 3 Pol</v>
          </cell>
          <cell r="C1978" t="str">
            <v>UN</v>
          </cell>
          <cell r="D1978">
            <v>45.802199999999999</v>
          </cell>
        </row>
        <row r="1979">
          <cell r="A1979" t="str">
            <v>001.32.02140</v>
          </cell>
          <cell r="B1979" t="str">
            <v>Fornecimento e Instalação de União Assento Plano De Ferro Galvanizado 2.5 Pol</v>
          </cell>
          <cell r="C1979" t="str">
            <v>UN</v>
          </cell>
          <cell r="D1979">
            <v>37.252200000000002</v>
          </cell>
        </row>
        <row r="1980">
          <cell r="A1980" t="str">
            <v>001.32.02160</v>
          </cell>
          <cell r="B1980" t="str">
            <v>Fornecimento e Instalação de União Assento Plano De Ferro Galvanizado 2 Pol</v>
          </cell>
          <cell r="C1980" t="str">
            <v>UN</v>
          </cell>
          <cell r="D1980">
            <v>26.330400000000001</v>
          </cell>
        </row>
        <row r="1981">
          <cell r="A1981" t="str">
            <v>001.32.02180</v>
          </cell>
          <cell r="B1981" t="str">
            <v>Fornecimento e Instalação de União Assento Plano De Ferro Galvanizado 1.5 Pol</v>
          </cell>
          <cell r="C1981" t="str">
            <v>UN</v>
          </cell>
          <cell r="D1981">
            <v>18.730399999999999</v>
          </cell>
        </row>
        <row r="1982">
          <cell r="A1982" t="str">
            <v>001.32.02200</v>
          </cell>
          <cell r="B1982" t="str">
            <v>Fornecimento e Instalação de União Assento Plano De Ferro Galvanizado 1 1/4 Pol</v>
          </cell>
          <cell r="C1982" t="str">
            <v>UN</v>
          </cell>
          <cell r="D1982">
            <v>15.730399999999999</v>
          </cell>
        </row>
        <row r="1983">
          <cell r="A1983" t="str">
            <v>001.32.02220</v>
          </cell>
          <cell r="B1983" t="str">
            <v>Fornecimento e Instalação de União Assento Plano De Ferro Galvanizado 1 Pol</v>
          </cell>
          <cell r="C1983" t="str">
            <v>UN</v>
          </cell>
          <cell r="D1983">
            <v>10.858700000000001</v>
          </cell>
        </row>
        <row r="1984">
          <cell r="A1984" t="str">
            <v>001.32.02240</v>
          </cell>
          <cell r="B1984" t="str">
            <v>Fornecimento e Instalação de União Assento Plano De Ferro Galvanizado 3/4 Pol</v>
          </cell>
          <cell r="C1984" t="str">
            <v>UN</v>
          </cell>
          <cell r="D1984">
            <v>10.258699999999999</v>
          </cell>
        </row>
        <row r="1985">
          <cell r="A1985" t="str">
            <v>001.32.02260</v>
          </cell>
          <cell r="B1985" t="str">
            <v>Fornecimento e Instalação de União Assento Plano De Ferro Galvanizado 1/2 Pol</v>
          </cell>
          <cell r="C1985" t="str">
            <v>UN</v>
          </cell>
          <cell r="D1985">
            <v>7.8586999999999998</v>
          </cell>
        </row>
        <row r="1986">
          <cell r="A1986" t="str">
            <v>001.32.02280</v>
          </cell>
          <cell r="B1986" t="str">
            <v>Fornecimento e Instalação de Flanges C/Sextavados De Ferro Galvanizado 4 Pol</v>
          </cell>
          <cell r="C1986" t="str">
            <v>UN</v>
          </cell>
          <cell r="D1986">
            <v>44.095799999999997</v>
          </cell>
        </row>
        <row r="1987">
          <cell r="A1987" t="str">
            <v>001.32.02300</v>
          </cell>
          <cell r="B1987" t="str">
            <v>Fornecimento e Instalação de Flanges C/Sextavados De Ferro Galvanizado 3 Pol</v>
          </cell>
          <cell r="C1987" t="str">
            <v>UN</v>
          </cell>
          <cell r="D1987">
            <v>34.703800000000001</v>
          </cell>
        </row>
        <row r="1988">
          <cell r="A1988" t="str">
            <v>001.32.02320</v>
          </cell>
          <cell r="B1988" t="str">
            <v>Fornecimento e Instalação de Flanges C/Sextavados De Ferro Galvanizado  2.5 Pol</v>
          </cell>
          <cell r="C1988" t="str">
            <v>UN</v>
          </cell>
          <cell r="D1988">
            <v>23.772200000000002</v>
          </cell>
        </row>
        <row r="1989">
          <cell r="A1989" t="str">
            <v>001.32.02340</v>
          </cell>
          <cell r="B1989" t="str">
            <v>Fornecimento e Instalação de Flanges C/Sextavados De Ferro Galvanizado 2 Pol</v>
          </cell>
          <cell r="C1989" t="str">
            <v>UN</v>
          </cell>
          <cell r="D1989">
            <v>17.2804</v>
          </cell>
        </row>
        <row r="1990">
          <cell r="A1990" t="str">
            <v>001.32.02360</v>
          </cell>
          <cell r="B1990" t="str">
            <v>Fornecimento e Instalação de Flanges C/Sextavados De Ferro Galvanizado 1.5 Pol</v>
          </cell>
          <cell r="C1990" t="str">
            <v>UN</v>
          </cell>
          <cell r="D1990">
            <v>7.3087</v>
          </cell>
        </row>
        <row r="1991">
          <cell r="A1991" t="str">
            <v>001.32.02380</v>
          </cell>
          <cell r="B1991" t="str">
            <v>Fornecimento e Instalação de Flanges C/Sextavados De Ferro Galvanizado 1 1/4 Pol</v>
          </cell>
          <cell r="C1991" t="str">
            <v>UN</v>
          </cell>
          <cell r="D1991">
            <v>6.5587</v>
          </cell>
        </row>
        <row r="1992">
          <cell r="A1992" t="str">
            <v>001.32.02400</v>
          </cell>
          <cell r="B1992" t="str">
            <v>Fornecimento e Instalação de Flanges C/Sextavados De  Ferro Galvanizado 1 Pol</v>
          </cell>
          <cell r="C1992" t="str">
            <v>UN</v>
          </cell>
          <cell r="D1992">
            <v>5.6868999999999996</v>
          </cell>
        </row>
        <row r="1993">
          <cell r="A1993" t="str">
            <v>001.32.02420</v>
          </cell>
          <cell r="B1993" t="str">
            <v>Fornecimento e Instalação de Flanges C/Sextavados De Ferro Galvanizado  3/4 Pol</v>
          </cell>
          <cell r="C1993" t="str">
            <v>UN</v>
          </cell>
          <cell r="D1993">
            <v>7.0168999999999997</v>
          </cell>
        </row>
        <row r="1994">
          <cell r="A1994" t="str">
            <v>001.32.02440</v>
          </cell>
          <cell r="B1994" t="str">
            <v>Fornecimento e Instalação de Flanges C/Sextavados De Ferro Galvanizado 1/2 Pol</v>
          </cell>
          <cell r="C1994" t="str">
            <v>UN</v>
          </cell>
          <cell r="D1994">
            <v>6.0568999999999997</v>
          </cell>
        </row>
        <row r="1995">
          <cell r="A1995" t="str">
            <v>001.32.02460</v>
          </cell>
          <cell r="B1995" t="str">
            <v>Fornecimento e Instalação de Niples Duplos De Ferro Galvanizado 4 Pol</v>
          </cell>
          <cell r="C1995" t="str">
            <v>UN</v>
          </cell>
          <cell r="D1995">
            <v>35.273800000000001</v>
          </cell>
        </row>
        <row r="1996">
          <cell r="A1996" t="str">
            <v>001.32.02480</v>
          </cell>
          <cell r="B1996" t="str">
            <v>Fornecimento e Instalação de Niples Duplos De Ferro Galvanizado 3 Pol</v>
          </cell>
          <cell r="C1996" t="str">
            <v>UN</v>
          </cell>
          <cell r="D1996">
            <v>19.6022</v>
          </cell>
        </row>
        <row r="1997">
          <cell r="A1997" t="str">
            <v>001.32.02500</v>
          </cell>
          <cell r="B1997" t="str">
            <v>Fornecimento e Instalação de Niples Duplos De Ferro Galvanizado 2.5 Pol</v>
          </cell>
          <cell r="C1997" t="str">
            <v>UN</v>
          </cell>
          <cell r="D1997">
            <v>13.7804</v>
          </cell>
        </row>
        <row r="1998">
          <cell r="A1998" t="str">
            <v>001.32.02520</v>
          </cell>
          <cell r="B1998" t="str">
            <v>Fornecimento e Instalação de Niples Duplos De Ferro Galvanizado 2 Pol</v>
          </cell>
          <cell r="C1998" t="str">
            <v>UN</v>
          </cell>
          <cell r="D1998">
            <v>10.9587</v>
          </cell>
        </row>
        <row r="1999">
          <cell r="A1999" t="str">
            <v>001.32.02540</v>
          </cell>
          <cell r="B1999" t="str">
            <v>Fornecimento e Instalação de Niples Duplos De Ferro Galvanizado 1.5 Pol</v>
          </cell>
          <cell r="C1999" t="str">
            <v>UN</v>
          </cell>
          <cell r="D1999">
            <v>6.3087</v>
          </cell>
        </row>
        <row r="2000">
          <cell r="A2000" t="str">
            <v>001.32.02560</v>
          </cell>
          <cell r="B2000" t="str">
            <v>Fornecimento e Instalação de Niples Duplos De Ferro Galvanizado 1 1/4 Pol</v>
          </cell>
          <cell r="C2000" t="str">
            <v>UN</v>
          </cell>
          <cell r="D2000">
            <v>5.8586999999999998</v>
          </cell>
        </row>
        <row r="2001">
          <cell r="A2001" t="str">
            <v>001.32.02580</v>
          </cell>
          <cell r="B2001" t="str">
            <v>Fornecimento e Instalação de Niples Duplos De Ferro Galvanizado 1 Pol</v>
          </cell>
          <cell r="C2001" t="str">
            <v>UN</v>
          </cell>
          <cell r="D2001">
            <v>4.4869000000000003</v>
          </cell>
        </row>
        <row r="2002">
          <cell r="A2002" t="str">
            <v>001.32.02600</v>
          </cell>
          <cell r="B2002" t="str">
            <v>Fornecimento e Instalação de Niples Duplos De Ferro Galvanizado 3/4 Pol</v>
          </cell>
          <cell r="C2002" t="str">
            <v>UN</v>
          </cell>
          <cell r="D2002">
            <v>3.4369000000000001</v>
          </cell>
        </row>
        <row r="2003">
          <cell r="A2003" t="str">
            <v>001.32.02620</v>
          </cell>
          <cell r="B2003" t="str">
            <v>Fornecimento e Instalação de Niples Duplos De Ferro Galvanizado 1/2 Pol</v>
          </cell>
          <cell r="C2003" t="str">
            <v>UN</v>
          </cell>
          <cell r="D2003">
            <v>2.9868999999999999</v>
          </cell>
        </row>
        <row r="2004">
          <cell r="A2004" t="str">
            <v>001.32.02640</v>
          </cell>
          <cell r="B2004" t="str">
            <v>Fornecimento e Instalação de Tampão Ou Cap De Ferro Galvanizado 4 Pol</v>
          </cell>
          <cell r="C2004" t="str">
            <v>UN</v>
          </cell>
          <cell r="D2004">
            <v>23.202200000000001</v>
          </cell>
        </row>
        <row r="2005">
          <cell r="A2005" t="str">
            <v>001.32.02660</v>
          </cell>
          <cell r="B2005" t="str">
            <v>Fornecimento e Instalação de Tampão Ou Cap De Ferro Galvanizado 3 Pol</v>
          </cell>
          <cell r="C2005" t="str">
            <v>UN</v>
          </cell>
          <cell r="D2005">
            <v>16.5304</v>
          </cell>
        </row>
        <row r="2006">
          <cell r="A2006" t="str">
            <v>001.32.02680</v>
          </cell>
          <cell r="B2006" t="str">
            <v>Fornecimento e Instalação de Tampão Ou Cap De Ferro Galvanizado 2.5 Pol</v>
          </cell>
          <cell r="C2006" t="str">
            <v>UN</v>
          </cell>
          <cell r="D2006">
            <v>9.4587000000000003</v>
          </cell>
        </row>
        <row r="2007">
          <cell r="A2007" t="str">
            <v>001.32.02700</v>
          </cell>
          <cell r="B2007" t="str">
            <v>Fornecimento e Instalação de Tampão Ou Cap De Ferro Galvanizado 2 Pol</v>
          </cell>
          <cell r="C2007" t="str">
            <v>UN</v>
          </cell>
          <cell r="D2007">
            <v>7.0369000000000002</v>
          </cell>
        </row>
        <row r="2008">
          <cell r="A2008" t="str">
            <v>001.32.02720</v>
          </cell>
          <cell r="B2008" t="str">
            <v>Fornecimento e Instalação de Tampão Ou Cap De Ferro Galvanizado 1.5 Pol</v>
          </cell>
          <cell r="C2008" t="str">
            <v>UN</v>
          </cell>
          <cell r="D2008">
            <v>5.4869000000000003</v>
          </cell>
        </row>
        <row r="2009">
          <cell r="A2009" t="str">
            <v>001.32.02740</v>
          </cell>
          <cell r="B2009" t="str">
            <v>Fornecimento e Instalação de Tampão Ou Cap De Ferro Galvanizado 1 1/4 Pol</v>
          </cell>
          <cell r="C2009" t="str">
            <v>UN</v>
          </cell>
          <cell r="D2009">
            <v>5.5369000000000002</v>
          </cell>
        </row>
        <row r="2010">
          <cell r="A2010" t="str">
            <v>001.32.02760</v>
          </cell>
          <cell r="B2010" t="str">
            <v>Fornecimento e Instalação de Tampão Ou Cap De Ferro Galvanizado 1 Pol</v>
          </cell>
          <cell r="C2010" t="str">
            <v>UN</v>
          </cell>
          <cell r="D2010">
            <v>3.6152000000000002</v>
          </cell>
        </row>
        <row r="2011">
          <cell r="A2011" t="str">
            <v>001.32.02780</v>
          </cell>
          <cell r="B2011" t="str">
            <v>Fornecimento e Instalação de Tampão Ou Cap De Ferro Galvanizado 3/4 Pol</v>
          </cell>
          <cell r="C2011" t="str">
            <v>UN</v>
          </cell>
          <cell r="D2011">
            <v>2.7452000000000001</v>
          </cell>
        </row>
        <row r="2012">
          <cell r="A2012" t="str">
            <v>001.32.02800</v>
          </cell>
          <cell r="B2012" t="str">
            <v>Fornecimento e Instalação de Tampão Ou Cap De Ferro Galvanizado 1/2 Pol</v>
          </cell>
          <cell r="C2012" t="str">
            <v>UN</v>
          </cell>
          <cell r="D2012">
            <v>2.5152000000000001</v>
          </cell>
        </row>
        <row r="2013">
          <cell r="A2013" t="str">
            <v>001.33</v>
          </cell>
          <cell r="B2013" t="str">
            <v>INSTALAÇÕES HIDRÁULICAS - VÁLVULAS E REGISTROS</v>
          </cell>
        </row>
        <row r="2014">
          <cell r="A2014" t="str">
            <v>001.33.00020</v>
          </cell>
          <cell r="B2014" t="str">
            <v>Fornecimento e Instalação de Registro de Esfera Docol  1/2 pol</v>
          </cell>
          <cell r="C2014" t="str">
            <v>UN</v>
          </cell>
          <cell r="D2014">
            <v>31.369</v>
          </cell>
        </row>
        <row r="2015">
          <cell r="A2015" t="str">
            <v>001.33.00040</v>
          </cell>
          <cell r="B2015" t="str">
            <v>Fornecimento e Instalação de Registro de Esfera Docol  3/4 pol</v>
          </cell>
          <cell r="C2015" t="str">
            <v>UN</v>
          </cell>
          <cell r="D2015">
            <v>31.369</v>
          </cell>
        </row>
        <row r="2016">
          <cell r="A2016" t="str">
            <v>001.33.00060</v>
          </cell>
          <cell r="B2016" t="str">
            <v>Fornecimento e Instalação de Registro de Esfera Docol  1 pol</v>
          </cell>
          <cell r="C2016" t="str">
            <v>UN</v>
          </cell>
          <cell r="D2016">
            <v>43.879800000000003</v>
          </cell>
        </row>
        <row r="2017">
          <cell r="A2017" t="str">
            <v>001.33.00080</v>
          </cell>
          <cell r="B2017" t="str">
            <v>Fornecimento e Instalação de Registro de Esfera Docol  1 1/4 pol</v>
          </cell>
          <cell r="C2017" t="str">
            <v>UN</v>
          </cell>
          <cell r="D2017">
            <v>64.9816</v>
          </cell>
        </row>
        <row r="2018">
          <cell r="A2018" t="str">
            <v>001.33.00100</v>
          </cell>
          <cell r="B2018" t="str">
            <v>Fornecimento e Instalação de Registro de Esfera Docol  1 1/2 pol</v>
          </cell>
          <cell r="C2018" t="str">
            <v>UN</v>
          </cell>
          <cell r="D2018">
            <v>92.251599999999996</v>
          </cell>
        </row>
        <row r="2019">
          <cell r="A2019" t="str">
            <v>001.33.00120</v>
          </cell>
          <cell r="B2019" t="str">
            <v>Fornecimento e Instalação de Registro de Esfera Docol  2 pol</v>
          </cell>
          <cell r="C2019" t="str">
            <v>UN</v>
          </cell>
          <cell r="D2019">
            <v>145.5564</v>
          </cell>
        </row>
        <row r="2020">
          <cell r="A2020" t="str">
            <v>001.33.00140</v>
          </cell>
          <cell r="B2020" t="str">
            <v>Fornecimento e Instalação de Registro de Esfera Docol  2 1/2 pol</v>
          </cell>
          <cell r="C2020" t="str">
            <v>UN</v>
          </cell>
          <cell r="D2020">
            <v>310.63819999999998</v>
          </cell>
        </row>
        <row r="2021">
          <cell r="A2021" t="str">
            <v>001.33.00160</v>
          </cell>
          <cell r="B2021" t="str">
            <v>Fornecimento e Instalação de Registro de Esfera Docol  3 pol</v>
          </cell>
          <cell r="C2021" t="str">
            <v>UN</v>
          </cell>
          <cell r="D2021">
            <v>446.90690000000001</v>
          </cell>
        </row>
        <row r="2022">
          <cell r="A2022" t="str">
            <v>001.33.00180</v>
          </cell>
          <cell r="B2022" t="str">
            <v>Fornecimento e Instalação de Registro de Esfera Docol  4 pol</v>
          </cell>
          <cell r="C2022" t="str">
            <v>UN</v>
          </cell>
          <cell r="D2022">
            <v>923.98030000000006</v>
          </cell>
        </row>
        <row r="2023">
          <cell r="A2023" t="str">
            <v>001.33.00200</v>
          </cell>
          <cell r="B2023" t="str">
            <v>Fornecimento e Instalação de Registro de Esfera Deca n.1552 1/2 pol</v>
          </cell>
          <cell r="C2023" t="str">
            <v>UN</v>
          </cell>
          <cell r="D2023">
            <v>25.418600000000001</v>
          </cell>
        </row>
        <row r="2024">
          <cell r="A2024" t="str">
            <v>001.33.00220</v>
          </cell>
          <cell r="B2024" t="str">
            <v>Fornecimento e Instalação de Registro de Esfera Deca n.1552 3/4 pol</v>
          </cell>
          <cell r="C2024" t="str">
            <v>UN</v>
          </cell>
          <cell r="D2024">
            <v>29.879000000000001</v>
          </cell>
        </row>
        <row r="2025">
          <cell r="A2025" t="str">
            <v>001.33.00240</v>
          </cell>
          <cell r="B2025" t="str">
            <v>Fornecimento e Instalação de Registro de Esfera Deca n.1552 1 pol</v>
          </cell>
          <cell r="C2025" t="str">
            <v>UN</v>
          </cell>
          <cell r="D2025">
            <v>40.719799999999999</v>
          </cell>
        </row>
        <row r="2026">
          <cell r="A2026" t="str">
            <v>001.33.00260</v>
          </cell>
          <cell r="B2026" t="str">
            <v>Fornecimento e Instalação de Registro de Esfera Deca n.1552 11/4 pol</v>
          </cell>
          <cell r="C2026" t="str">
            <v>UN</v>
          </cell>
          <cell r="D2026">
            <v>70.545599999999993</v>
          </cell>
        </row>
        <row r="2027">
          <cell r="A2027" t="str">
            <v>001.33.00280</v>
          </cell>
          <cell r="B2027" t="str">
            <v>Fornecimento e Instalação de Registro de Esfera Deca n.1552 11/2 pol</v>
          </cell>
          <cell r="C2027" t="str">
            <v>UN</v>
          </cell>
          <cell r="D2027">
            <v>70.575999999999993</v>
          </cell>
        </row>
        <row r="2028">
          <cell r="A2028" t="str">
            <v>001.33.00300</v>
          </cell>
          <cell r="B2028" t="str">
            <v>Fornecimento e Instalação de Registro de Esfera Deca n.1552 2 pol</v>
          </cell>
          <cell r="C2028" t="str">
            <v>UN</v>
          </cell>
          <cell r="D2028">
            <v>106.4764</v>
          </cell>
        </row>
        <row r="2029">
          <cell r="A2029" t="str">
            <v>001.33.00320</v>
          </cell>
          <cell r="B2029" t="str">
            <v>Fornecimento e Instalação de Registro de Gaveta Europa c/ acabamento bruto (amarelo) Docol  4 pol</v>
          </cell>
          <cell r="C2029" t="str">
            <v>UN</v>
          </cell>
          <cell r="D2029">
            <v>354.63029999999998</v>
          </cell>
        </row>
        <row r="2030">
          <cell r="A2030" t="str">
            <v>001.33.00340</v>
          </cell>
          <cell r="B2030" t="str">
            <v>Fornecimento e Instalação de Registro de Gaveta Europa c/ acabamento bruto (amarelo) Docol  3 pol</v>
          </cell>
          <cell r="C2030" t="str">
            <v>UN</v>
          </cell>
          <cell r="D2030">
            <v>201.40690000000001</v>
          </cell>
        </row>
        <row r="2031">
          <cell r="A2031" t="str">
            <v>001.33.00360</v>
          </cell>
          <cell r="B2031" t="str">
            <v>Fornecimento e Instalação de Registro de Gaveta Europa c/ acabamento bruto (amarelo) Docol  2 1/2 pol</v>
          </cell>
          <cell r="C2031" t="str">
            <v>UN</v>
          </cell>
          <cell r="D2031">
            <v>153.69820000000001</v>
          </cell>
        </row>
        <row r="2032">
          <cell r="A2032" t="str">
            <v>001.33.00380</v>
          </cell>
          <cell r="B2032" t="str">
            <v>Fornecimento e Instalação de Registro de Gaveta Europa c/ acabamento bruto (amarelo) Docol  2 pol</v>
          </cell>
          <cell r="C2032" t="str">
            <v>UN</v>
          </cell>
          <cell r="D2032">
            <v>59.6464</v>
          </cell>
        </row>
        <row r="2033">
          <cell r="A2033" t="str">
            <v>001.33.00400</v>
          </cell>
          <cell r="B2033" t="str">
            <v>Fornecimento e Instalação de Registro de Gaveta Europa c/ acabamento bruto (amarelo) Docol  1 1/2 pol</v>
          </cell>
          <cell r="C2033" t="str">
            <v>UN</v>
          </cell>
          <cell r="D2033">
            <v>39.811599999999999</v>
          </cell>
        </row>
        <row r="2034">
          <cell r="A2034" t="str">
            <v>001.33.00420</v>
          </cell>
          <cell r="B2034" t="str">
            <v>Fornecimento e Instalação de Registro de Gaveta Europa c/ acabamento bruto (amarelo) Docol  1 1/4 pol</v>
          </cell>
          <cell r="C2034" t="str">
            <v>UN</v>
          </cell>
          <cell r="D2034">
            <v>28.2316</v>
          </cell>
        </row>
        <row r="2035">
          <cell r="A2035" t="str">
            <v>001.33.00440</v>
          </cell>
          <cell r="B2035" t="str">
            <v>Fornecimento e Instalação de Registro de Gaveta Europa c/ acabamento bruto (amarelo) Docol  1 pol</v>
          </cell>
          <cell r="C2035" t="str">
            <v>UN</v>
          </cell>
          <cell r="D2035">
            <v>22.889800000000001</v>
          </cell>
        </row>
        <row r="2036">
          <cell r="A2036" t="str">
            <v>001.33.00460</v>
          </cell>
          <cell r="B2036" t="str">
            <v>Fornecimento e Instalação de Registro de Gaveta Europa c/ acabamento bruto (amarelo) Docol  3/4 pol</v>
          </cell>
          <cell r="C2036" t="str">
            <v>UN</v>
          </cell>
          <cell r="D2036">
            <v>17.009</v>
          </cell>
        </row>
        <row r="2037">
          <cell r="A2037" t="str">
            <v>001.33.00480</v>
          </cell>
          <cell r="B2037" t="str">
            <v>Fornecimento e Instalação de Registro de Gaveta Europa c/ acabamento bruto (amarelo) Docol  1/2 pol</v>
          </cell>
          <cell r="C2037" t="str">
            <v>UN</v>
          </cell>
          <cell r="D2037">
            <v>15.259</v>
          </cell>
        </row>
        <row r="2038">
          <cell r="A2038" t="str">
            <v>001.33.00500</v>
          </cell>
          <cell r="B2038" t="str">
            <v>Fornecimento e Instalação de Registro de Gaveta em Acabamento Bruto (amarelo) Deca n.1502 4 pol</v>
          </cell>
          <cell r="C2038" t="str">
            <v>UN</v>
          </cell>
          <cell r="D2038">
            <v>445.13549999999998</v>
          </cell>
        </row>
        <row r="2039">
          <cell r="A2039" t="str">
            <v>001.33.00520</v>
          </cell>
          <cell r="B2039" t="str">
            <v>Fornecimento e Instalação de Registro de Gaveta em Acabamento Bruto (amarelo) Deca n.1502 3 pol</v>
          </cell>
          <cell r="C2039" t="str">
            <v>UN</v>
          </cell>
          <cell r="D2039">
            <v>270.0369</v>
          </cell>
        </row>
        <row r="2040">
          <cell r="A2040" t="str">
            <v>001.33.00540</v>
          </cell>
          <cell r="B2040" t="str">
            <v>Fornecimento e Instalação de Registro de Gaveta em Acabamento Bruto (amarelo) Deca n.1502 2 1/2 pol</v>
          </cell>
          <cell r="C2040" t="str">
            <v>UN</v>
          </cell>
          <cell r="D2040">
            <v>176.53299999999999</v>
          </cell>
        </row>
        <row r="2041">
          <cell r="A2041" t="str">
            <v>001.33.00560</v>
          </cell>
          <cell r="B2041" t="str">
            <v>Fornecimento e Instalação de Registro de Gaveta em Acabamento Bruto (amarelo) Deca n.1502 2 pol</v>
          </cell>
          <cell r="C2041" t="str">
            <v>UN</v>
          </cell>
          <cell r="D2041">
            <v>71.916399999999996</v>
          </cell>
        </row>
        <row r="2042">
          <cell r="A2042" t="str">
            <v>001.33.00580</v>
          </cell>
          <cell r="B2042" t="str">
            <v>Fornecimento e Instalação de Registro de Gaveta em Acabamento Bruto (amarelo) Deca n.1502 11/2 pol</v>
          </cell>
          <cell r="C2042" t="str">
            <v>UN</v>
          </cell>
          <cell r="D2042">
            <v>48.206000000000003</v>
          </cell>
        </row>
        <row r="2043">
          <cell r="A2043" t="str">
            <v>001.33.00600</v>
          </cell>
          <cell r="B2043" t="str">
            <v>Fornecimento e Instalação de Registro de Gaveta em Acabamento Bruto (amarelo) Deca n.1502 11/4 pol</v>
          </cell>
          <cell r="C2043" t="str">
            <v>UN</v>
          </cell>
          <cell r="D2043">
            <v>48.175600000000003</v>
          </cell>
        </row>
        <row r="2044">
          <cell r="A2044" t="str">
            <v>001.33.00620</v>
          </cell>
          <cell r="B2044" t="str">
            <v>Fornecimento e Instalação de Registro de Gaveta em Acabamento Bruto (amarelo) Deca n.1502 1 pol</v>
          </cell>
          <cell r="C2044" t="str">
            <v>UN</v>
          </cell>
          <cell r="D2044">
            <v>30.969799999999999</v>
          </cell>
        </row>
        <row r="2045">
          <cell r="A2045" t="str">
            <v>001.33.00640</v>
          </cell>
          <cell r="B2045" t="str">
            <v>Fornecimento e Instalação de Registro de Gaveta em Acabamento Bruto (amarelo) Deca n.1502 3/4 pol</v>
          </cell>
          <cell r="C2045" t="str">
            <v>UN</v>
          </cell>
          <cell r="D2045">
            <v>23.079000000000001</v>
          </cell>
        </row>
        <row r="2046">
          <cell r="A2046" t="str">
            <v>001.33.00660</v>
          </cell>
          <cell r="B2046" t="str">
            <v>Fornecimento e Instalação de Registro de Gaveta em Acabamento Bruto (amarelo) Deca n.1502 1/2 pol</v>
          </cell>
          <cell r="C2046" t="str">
            <v>UN</v>
          </cell>
          <cell r="D2046">
            <v>22.208600000000001</v>
          </cell>
        </row>
        <row r="2047">
          <cell r="A2047" t="str">
            <v>001.33.00680</v>
          </cell>
          <cell r="B2047" t="str">
            <v>Fornecimento e Instalação de Registro de Gaveta (Base) Docol 1/2 pol</v>
          </cell>
          <cell r="C2047" t="str">
            <v>UN</v>
          </cell>
          <cell r="D2047">
            <v>23.7286</v>
          </cell>
        </row>
        <row r="2048">
          <cell r="A2048" t="str">
            <v>001.33.00700</v>
          </cell>
          <cell r="B2048" t="str">
            <v>Fornecimento e Instalação de Registro de Gaveta (Base) Docol 3/4 pol</v>
          </cell>
          <cell r="C2048" t="str">
            <v>UN</v>
          </cell>
          <cell r="D2048">
            <v>25.129000000000001</v>
          </cell>
        </row>
        <row r="2049">
          <cell r="A2049" t="str">
            <v>001.33.00720</v>
          </cell>
          <cell r="B2049" t="str">
            <v>Fornecimento e Instalação de Registro de Gaveta (Base) Docol 1 pol</v>
          </cell>
          <cell r="C2049" t="str">
            <v>UN</v>
          </cell>
          <cell r="D2049">
            <v>32.219799999999999</v>
          </cell>
        </row>
        <row r="2050">
          <cell r="A2050" t="str">
            <v>001.33.00740</v>
          </cell>
          <cell r="B2050" t="str">
            <v>Fornecimento e Instalação de Registro de Gaveta (Base) Docol 1 1/4 pol</v>
          </cell>
          <cell r="C2050" t="str">
            <v>UN</v>
          </cell>
          <cell r="D2050">
            <v>39.695599999999999</v>
          </cell>
        </row>
        <row r="2051">
          <cell r="A2051" t="str">
            <v>001.33.00760</v>
          </cell>
          <cell r="B2051" t="str">
            <v>Fornecimento e Instalação de Registro de Gaveta (Base) Docol 1 1/2 pol</v>
          </cell>
          <cell r="C2051" t="str">
            <v>UN</v>
          </cell>
          <cell r="D2051">
            <v>46.996000000000002</v>
          </cell>
        </row>
        <row r="2052">
          <cell r="A2052" t="str">
            <v>001.33.00780</v>
          </cell>
          <cell r="B2052" t="str">
            <v>Fornecimento e Instalação de Registro de Gaveta (Base) Deca n.102 1/2 pol</v>
          </cell>
          <cell r="C2052" t="str">
            <v>UN</v>
          </cell>
          <cell r="D2052">
            <v>26.668600000000001</v>
          </cell>
        </row>
        <row r="2053">
          <cell r="A2053" t="str">
            <v>001.33.00800</v>
          </cell>
          <cell r="B2053" t="str">
            <v>Fornecimento e Instalação de Registro de Gaveta (Base) Deca n.202 3/4 pol</v>
          </cell>
          <cell r="C2053" t="str">
            <v>UN</v>
          </cell>
          <cell r="D2053">
            <v>27.248999999999999</v>
          </cell>
        </row>
        <row r="2054">
          <cell r="A2054" t="str">
            <v>001.33.00820</v>
          </cell>
          <cell r="B2054" t="str">
            <v>Fornecimento e Instalação de Registro de Gaveta (Base) Deca n.302 1 pol</v>
          </cell>
          <cell r="C2054" t="str">
            <v>UN</v>
          </cell>
          <cell r="D2054">
            <v>37.389800000000001</v>
          </cell>
        </row>
        <row r="2055">
          <cell r="A2055" t="str">
            <v>001.33.00840</v>
          </cell>
          <cell r="B2055" t="str">
            <v>Fornecimento e Instalação de Registro de Gaveta (Base) Deca n.402 1 1/4 pol</v>
          </cell>
          <cell r="C2055" t="str">
            <v>UN</v>
          </cell>
          <cell r="D2055">
            <v>50.715600000000002</v>
          </cell>
        </row>
        <row r="2056">
          <cell r="A2056" t="str">
            <v>001.33.00860</v>
          </cell>
          <cell r="B2056" t="str">
            <v>Fornecimento e Instalação de Registro de Gaveta (Base) Deca n.502 1 1/2 pol</v>
          </cell>
          <cell r="C2056" t="str">
            <v>UN</v>
          </cell>
          <cell r="D2056">
            <v>60.026000000000003</v>
          </cell>
        </row>
        <row r="2057">
          <cell r="A2057" t="str">
            <v>001.33.00880</v>
          </cell>
          <cell r="B2057" t="str">
            <v>Fornecimento e Instalação de Registro de Pressão (Base) Docol 1/2 pol</v>
          </cell>
          <cell r="C2057" t="str">
            <v>UN</v>
          </cell>
          <cell r="D2057">
            <v>25.118600000000001</v>
          </cell>
        </row>
        <row r="2058">
          <cell r="A2058" t="str">
            <v>001.33.00900</v>
          </cell>
          <cell r="B2058" t="str">
            <v>Fornecimento e Instalação de Registro de Pressão (Base) Docol 3/4 pol</v>
          </cell>
          <cell r="C2058" t="str">
            <v>UN</v>
          </cell>
          <cell r="D2058">
            <v>26.289000000000001</v>
          </cell>
        </row>
        <row r="2059">
          <cell r="A2059" t="str">
            <v>001.33.00920</v>
          </cell>
          <cell r="B2059" t="str">
            <v>Fornecimento e Instalação de Registro de Pressão (Base) Deca n.102 1/2 pol</v>
          </cell>
          <cell r="C2059" t="str">
            <v>UN</v>
          </cell>
          <cell r="D2059">
            <v>29.3886</v>
          </cell>
        </row>
        <row r="2060">
          <cell r="A2060" t="str">
            <v>001.33.00940</v>
          </cell>
          <cell r="B2060" t="str">
            <v>Fornecimento e Instalação de Registro de Pressão (Base) Deca n.202 3/4 pol</v>
          </cell>
          <cell r="C2060" t="str">
            <v>UN</v>
          </cell>
          <cell r="D2060">
            <v>30.009</v>
          </cell>
        </row>
        <row r="2061">
          <cell r="A2061" t="str">
            <v>001.33.00960</v>
          </cell>
          <cell r="B2061" t="str">
            <v>Fornecimento e Instalação de Acabamento Para Registro Cromado Linha Spot - Deca - 1 1/2  pol</v>
          </cell>
          <cell r="C2061" t="str">
            <v>UN</v>
          </cell>
          <cell r="D2061">
            <v>32.554600000000001</v>
          </cell>
        </row>
        <row r="2062">
          <cell r="A2062" t="str">
            <v>001.33.00980</v>
          </cell>
          <cell r="B2062" t="str">
            <v>Fornecimento e Instalação de Acabamento Para Registro Cromado Linha Itapema Bella - Docol -1 1/2  pol</v>
          </cell>
          <cell r="C2062" t="str">
            <v>UN</v>
          </cell>
          <cell r="D2062">
            <v>33.864600000000003</v>
          </cell>
        </row>
        <row r="2063">
          <cell r="A2063" t="str">
            <v>001.33.01000</v>
          </cell>
          <cell r="B2063" t="str">
            <v>Fornecimento e Instalação de Acabamento Para Registro Cromado Linha Spot - Deca - 3/4  pol</v>
          </cell>
          <cell r="C2063" t="str">
            <v>UN</v>
          </cell>
          <cell r="D2063">
            <v>25.899799999999999</v>
          </cell>
        </row>
        <row r="2064">
          <cell r="A2064" t="str">
            <v>001.33.01020</v>
          </cell>
          <cell r="B2064" t="str">
            <v>Fornecimento e Instalação de Acabamento Para Registro Cromado Linha Itapema Bella - Docol -3/4  pol</v>
          </cell>
          <cell r="C2064" t="str">
            <v>UN</v>
          </cell>
          <cell r="D2064">
            <v>24.298999999999999</v>
          </cell>
        </row>
        <row r="2065">
          <cell r="A2065" t="str">
            <v>001.33.01040</v>
          </cell>
          <cell r="B2065" t="str">
            <v>Fornecimento e Instalação de  Válvula Para Pia, Lavatório e Taque Em PVC Branco,  c/ Unha e s/Ladrão</v>
          </cell>
          <cell r="C2065" t="str">
            <v>UN</v>
          </cell>
          <cell r="D2065">
            <v>4.2176999999999998</v>
          </cell>
        </row>
        <row r="2066">
          <cell r="A2066" t="str">
            <v>001.33.01060</v>
          </cell>
          <cell r="B2066" t="str">
            <v>Fornecimento e Instalação de Válvula Para Pia, Lavatório ou Tanque Em PVC Cromado</v>
          </cell>
          <cell r="C2066" t="str">
            <v>UN</v>
          </cell>
          <cell r="D2066">
            <v>6.7885</v>
          </cell>
        </row>
        <row r="2067">
          <cell r="A2067" t="str">
            <v>001.33.01080</v>
          </cell>
          <cell r="B2067" t="str">
            <v>Fornecimento e Instalação de Válvula P/ Pia, Lavatório ou Tanque Em Metal  Cromado</v>
          </cell>
          <cell r="C2067" t="str">
            <v>UN</v>
          </cell>
          <cell r="D2067">
            <v>23.127700000000001</v>
          </cell>
        </row>
        <row r="2068">
          <cell r="A2068" t="str">
            <v>001.33.01100</v>
          </cell>
          <cell r="B2068" t="str">
            <v>Fornecimento e Instalação de Válvula P/ Pia Americana de Metal Cromada 3 1/2"""""""""""""""""""""""""""""""" x 1 1/2""""""""""""""""""""""""""""""""</v>
          </cell>
          <cell r="C2068" t="str">
            <v>UN</v>
          </cell>
          <cell r="D2068">
            <v>23.122900000000001</v>
          </cell>
        </row>
        <row r="2069">
          <cell r="A2069" t="str">
            <v>001.33.01120</v>
          </cell>
          <cell r="B2069" t="str">
            <v>Fornecimento e Instalação de Válvula de Descarga Docol (BASE) 1 1/4""""""""""""""""""""""""""""""""</v>
          </cell>
          <cell r="C2069" t="str">
            <v>UN</v>
          </cell>
          <cell r="D2069">
            <v>74.502499999999998</v>
          </cell>
        </row>
        <row r="2070">
          <cell r="A2070" t="str">
            <v>001.33.01140</v>
          </cell>
          <cell r="B2070" t="str">
            <v>Fornecimento e Instalação de Válvula de Descarga Docol (BASE) 1 1/2""""""""""""""""""""""""""""""""</v>
          </cell>
          <cell r="C2070" t="str">
            <v>UN</v>
          </cell>
          <cell r="D2070">
            <v>66.202500000000001</v>
          </cell>
        </row>
        <row r="2071">
          <cell r="A2071" t="str">
            <v>001.33.01160</v>
          </cell>
          <cell r="B2071" t="str">
            <v>Fornecimento e Instalação de Válvula de Descarga Deca (BASE)  1 1/2 """"""""""""""""""""""""""""""""</v>
          </cell>
          <cell r="C2071" t="str">
            <v>UN</v>
          </cell>
          <cell r="D2071">
            <v>72.498000000000005</v>
          </cell>
        </row>
        <row r="2072">
          <cell r="A2072" t="str">
            <v>001.33.01180</v>
          </cell>
          <cell r="B2072" t="str">
            <v>Fornecimento e Instalação Acabamento de Válvula de Descarga Docol, em PVC</v>
          </cell>
          <cell r="C2072" t="str">
            <v>UN</v>
          </cell>
          <cell r="D2072">
            <v>21.480399999999999</v>
          </cell>
        </row>
        <row r="2073">
          <cell r="A2073" t="str">
            <v>001.33.01200</v>
          </cell>
          <cell r="B2073" t="str">
            <v>Fornecimento e Instalação Acabamento de Válvula de Descarga Docol, em Metal Cromado</v>
          </cell>
          <cell r="C2073" t="str">
            <v>UN</v>
          </cell>
          <cell r="D2073">
            <v>70.3904</v>
          </cell>
        </row>
        <row r="2074">
          <cell r="A2074" t="str">
            <v>001.33.01220</v>
          </cell>
          <cell r="B2074" t="str">
            <v>Fornecimento e Instalação Acabamento de Válvula de Descarga Docol, em Aço Escovado Acetinado</v>
          </cell>
          <cell r="C2074" t="str">
            <v>UN</v>
          </cell>
          <cell r="D2074">
            <v>70.3904</v>
          </cell>
        </row>
        <row r="2075">
          <cell r="A2075" t="str">
            <v>001.33.01240</v>
          </cell>
          <cell r="B2075" t="str">
            <v>Fornecimento e Instalação  Acabamento de Válvula de Descarga Deca,  PVC na Cor Branca</v>
          </cell>
          <cell r="C2075" t="str">
            <v>UN</v>
          </cell>
          <cell r="D2075">
            <v>24.781199999999998</v>
          </cell>
        </row>
        <row r="2076">
          <cell r="A2076" t="str">
            <v>001.33.01260</v>
          </cell>
          <cell r="B2076" t="str">
            <v>Fornecimento e Instalação  Acabamento de Válvula de Descarga Deca,  Metal Cromado</v>
          </cell>
          <cell r="C2076" t="str">
            <v>UN</v>
          </cell>
          <cell r="D2076">
            <v>52.5304</v>
          </cell>
        </row>
        <row r="2077">
          <cell r="A2077" t="str">
            <v>001.33.01280</v>
          </cell>
          <cell r="B2077" t="str">
            <v>Fornecimento e Instalação deTubo de Descida Para Vávula de Descarga de PVC Rígido, Incl. Joelho e Anel de Borracha</v>
          </cell>
          <cell r="C2077" t="str">
            <v>UN</v>
          </cell>
          <cell r="D2077">
            <v>8.9291999999999998</v>
          </cell>
        </row>
        <row r="2078">
          <cell r="A2078" t="str">
            <v>001.33.01300</v>
          </cell>
          <cell r="B2078" t="str">
            <v>Fornecimento e Instalação de Reparo de Válvula de Descarga 1 1/4"""""""""""""""""""""""""""""""" e 1 1/2""""""""""""""""""""""""""""""""</v>
          </cell>
          <cell r="C2078" t="str">
            <v>UN</v>
          </cell>
          <cell r="D2078">
            <v>26.096399999999999</v>
          </cell>
        </row>
        <row r="2079">
          <cell r="A2079" t="str">
            <v>001.34</v>
          </cell>
          <cell r="B2079" t="str">
            <v>INSTALAÇÕES HIDRÁULICAS - LOUÇAS E METAIS</v>
          </cell>
        </row>
        <row r="2080">
          <cell r="A2080" t="str">
            <v>001.34.00020</v>
          </cell>
          <cell r="B2080" t="str">
            <v>Fornecimento e instalação de torneira de pressão para pia marca deca ref. c 1157 comprimento 210mm com arejador</v>
          </cell>
          <cell r="C2080" t="str">
            <v>UN</v>
          </cell>
          <cell r="D2080">
            <v>70.4773</v>
          </cell>
        </row>
        <row r="2081">
          <cell r="A2081" t="str">
            <v>001.34.00040</v>
          </cell>
          <cell r="B2081" t="str">
            <v>Fornecimento e instalação de torneira de pressão para pia marca deca ref. 1158 c 39 de 1/2 pol</v>
          </cell>
          <cell r="C2081" t="str">
            <v>UN</v>
          </cell>
          <cell r="D2081">
            <v>44.567300000000003</v>
          </cell>
        </row>
        <row r="2082">
          <cell r="A2082" t="str">
            <v>001.34.00060</v>
          </cell>
          <cell r="B2082" t="str">
            <v>Fornecimento e instalação de torneira de pressão para pia marca deca ref. 1158 c 39 de 3/4 pol</v>
          </cell>
          <cell r="C2082" t="str">
            <v>UN</v>
          </cell>
          <cell r="D2082">
            <v>50.6173</v>
          </cell>
        </row>
        <row r="2083">
          <cell r="A2083" t="str">
            <v>001.34.00080</v>
          </cell>
          <cell r="B2083" t="str">
            <v>Fornecimento e instalação de torneira de pressão para pia marca deca ref. 1159 c 39 de 1/2 pol com arejador</v>
          </cell>
          <cell r="C2083" t="str">
            <v>UN</v>
          </cell>
          <cell r="D2083">
            <v>58.677300000000002</v>
          </cell>
        </row>
        <row r="2084">
          <cell r="A2084" t="str">
            <v>001.34.00100</v>
          </cell>
          <cell r="B2084" t="str">
            <v>Fornecimento e instalação de torneira de pressão para pia marca deca ref. 1159 c 39 de 3/4 pol com arejador</v>
          </cell>
          <cell r="C2084" t="str">
            <v>UN</v>
          </cell>
          <cell r="D2084">
            <v>58.677300000000002</v>
          </cell>
        </row>
        <row r="2085">
          <cell r="A2085" t="str">
            <v>001.34.00120</v>
          </cell>
          <cell r="B2085" t="str">
            <v>Fornecimento e instalação de torneira de pressão para pia marca deca ref. 1167 c 40 tip mesa bica móvel</v>
          </cell>
          <cell r="C2085" t="str">
            <v>UN</v>
          </cell>
          <cell r="D2085">
            <v>82.577299999999994</v>
          </cell>
        </row>
        <row r="2086">
          <cell r="A2086" t="str">
            <v>001.34.00140</v>
          </cell>
          <cell r="B2086" t="str">
            <v>Fornecimento e instalação de torneira de pressão para pia marca deca cromada - tipo parede - bica móvelc 50 1168</v>
          </cell>
          <cell r="C2086" t="str">
            <v>UN</v>
          </cell>
          <cell r="D2086">
            <v>81.677300000000002</v>
          </cell>
        </row>
        <row r="2087">
          <cell r="A2087" t="str">
            <v>001.34.00160</v>
          </cell>
          <cell r="B2087" t="str">
            <v>Fornecimento e instalação de torneira de pressao p/ pia de cozinha - tipo parede - c 39 - bica móvel de 3/4 pol</v>
          </cell>
          <cell r="C2087" t="str">
            <v>UN</v>
          </cell>
          <cell r="D2087">
            <v>51.557299999999998</v>
          </cell>
        </row>
        <row r="2088">
          <cell r="A2088" t="str">
            <v>001.34.00180</v>
          </cell>
          <cell r="B2088" t="str">
            <v>Fornecmento e instalação de torneira de pressão para pia de cozinha - docol mod. 1158 - 1/2 pol</v>
          </cell>
          <cell r="C2088" t="str">
            <v>UN</v>
          </cell>
          <cell r="D2088">
            <v>37.767299999999999</v>
          </cell>
        </row>
        <row r="2089">
          <cell r="A2089" t="str">
            <v>001.34.00200</v>
          </cell>
          <cell r="B2089" t="str">
            <v>Fornecimento e instalação de torneira de pressão para pia de cozinha mod. 1544 - tipo parede - bica movel</v>
          </cell>
          <cell r="C2089" t="str">
            <v>UN</v>
          </cell>
          <cell r="D2089">
            <v>84.777299999999997</v>
          </cell>
        </row>
        <row r="2090">
          <cell r="A2090" t="str">
            <v>001.34.00220</v>
          </cell>
          <cell r="B2090" t="str">
            <v>Fornecimento e instalação de torneira de pressão para pia de cozinha - marca docol mod. 1158 - 3/4 pol</v>
          </cell>
          <cell r="C2090" t="str">
            <v>UN</v>
          </cell>
          <cell r="D2090">
            <v>37.717300000000002</v>
          </cell>
        </row>
        <row r="2091">
          <cell r="A2091" t="str">
            <v>001.34.00240</v>
          </cell>
          <cell r="B2091" t="str">
            <v>Fornecimento e instalação de torneira de pressão para pia de cozinha  - marca docol  mod. 1542 - tipo misturador p/ pia</v>
          </cell>
          <cell r="C2091" t="str">
            <v>UN</v>
          </cell>
          <cell r="D2091">
            <v>382.85359999999997</v>
          </cell>
        </row>
        <row r="2092">
          <cell r="A2092" t="str">
            <v>001.34.00260</v>
          </cell>
          <cell r="B2092" t="str">
            <v>Fornecimento e Instalação de Torneira de PVC para Pia de Cozinha 1/2 Pol</v>
          </cell>
          <cell r="C2092" t="str">
            <v>UN</v>
          </cell>
          <cell r="D2092">
            <v>3.0375999999999999</v>
          </cell>
        </row>
        <row r="2093">
          <cell r="A2093" t="str">
            <v>001.34.00280</v>
          </cell>
          <cell r="B2093" t="str">
            <v>Fornecimento e Instalação de Torneira de PVC para Pia de Cozinha 3/4 Pol</v>
          </cell>
          <cell r="C2093" t="str">
            <v>UN</v>
          </cell>
          <cell r="D2093">
            <v>3.4876</v>
          </cell>
        </row>
        <row r="2094">
          <cell r="A2094" t="str">
            <v>001.34.00300</v>
          </cell>
          <cell r="B2094" t="str">
            <v>Fornecimento e instalação de torneira de pressão para lavatório marca deca ref. 1194 c 45 de 1/2 pol</v>
          </cell>
          <cell r="C2094" t="str">
            <v>UN</v>
          </cell>
          <cell r="D2094">
            <v>117.1673</v>
          </cell>
        </row>
        <row r="2095">
          <cell r="A2095" t="str">
            <v>001.34.00320</v>
          </cell>
          <cell r="B2095" t="str">
            <v>Fornecimento e instalação de torneira de pressão para lavatório marca deca ref. 1199 c 50 de 1/2 pol</v>
          </cell>
          <cell r="C2095" t="str">
            <v>UN</v>
          </cell>
          <cell r="D2095">
            <v>62.1873</v>
          </cell>
        </row>
        <row r="2096">
          <cell r="A2096" t="str">
            <v>001.34.00340</v>
          </cell>
          <cell r="B2096" t="str">
            <v>Fornecimento e instalação de torneira de pressão para lavatório 1/2 pol - mod. itapema - docol</v>
          </cell>
          <cell r="C2096" t="str">
            <v>UN</v>
          </cell>
          <cell r="D2096">
            <v>37.9773</v>
          </cell>
        </row>
        <row r="2097">
          <cell r="A2097" t="str">
            <v>001.34.00360</v>
          </cell>
          <cell r="B2097" t="str">
            <v>Fornecimento e Instalação de Torneira de PVC para Lavatório 1/2 Pol</v>
          </cell>
          <cell r="C2097" t="str">
            <v>UN</v>
          </cell>
          <cell r="D2097">
            <v>6.9276</v>
          </cell>
        </row>
        <row r="2098">
          <cell r="A2098" t="str">
            <v>001.34.00380</v>
          </cell>
          <cell r="B2098" t="str">
            <v>Fornecimento e instalação de torneira para uso geral marca deca ref. 1153 c 39 com adaptador para mangueira</v>
          </cell>
          <cell r="C2098" t="str">
            <v>UN</v>
          </cell>
          <cell r="D2098">
            <v>47.409300000000002</v>
          </cell>
        </row>
        <row r="2099">
          <cell r="A2099" t="str">
            <v>001.34.00400</v>
          </cell>
          <cell r="B2099" t="str">
            <v>Fornecimento e instalação de torneira para uso geral marca deca ref. 1153 c 39 de 1/2 pol (maq tauque)</v>
          </cell>
          <cell r="C2099" t="str">
            <v>UN</v>
          </cell>
          <cell r="D2099">
            <v>40.6873</v>
          </cell>
        </row>
        <row r="2100">
          <cell r="A2100" t="str">
            <v>001.34.00420</v>
          </cell>
          <cell r="B2100" t="str">
            <v>Fornecimento e instalação de torneira p/ uso geral metálica p/ jardim c/ adaptador p/ mangueira mod.1130 -</v>
          </cell>
          <cell r="C2100" t="str">
            <v>UN</v>
          </cell>
          <cell r="D2100">
            <v>39.567300000000003</v>
          </cell>
        </row>
        <row r="2101">
          <cell r="A2101" t="str">
            <v>001.34.00440</v>
          </cell>
          <cell r="B2101" t="str">
            <v>Fornecimento e Instalação de Ducha Higiênica 1167 C 43 Metal Cromado</v>
          </cell>
          <cell r="C2101" t="str">
            <v>UN</v>
          </cell>
          <cell r="D2101">
            <v>58.081099999999999</v>
          </cell>
        </row>
        <row r="2102">
          <cell r="A2102" t="str">
            <v>001.34.00460</v>
          </cell>
          <cell r="B2102" t="str">
            <v>Fornecimento e Instalação de Torneira de PVC para Uso Geral 1/2 Pol</v>
          </cell>
          <cell r="C2102" t="str">
            <v>UN</v>
          </cell>
          <cell r="D2102">
            <v>2.8875999999999999</v>
          </cell>
        </row>
        <row r="2103">
          <cell r="A2103" t="str">
            <v>001.34.00480</v>
          </cell>
          <cell r="B2103" t="str">
            <v>Fornecimento e Instalação de Torneira de PVC Curta Para Tanque 1/2 Pol</v>
          </cell>
          <cell r="C2103" t="str">
            <v>UN</v>
          </cell>
          <cell r="D2103">
            <v>2.8875999999999999</v>
          </cell>
        </row>
        <row r="2104">
          <cell r="A2104" t="str">
            <v>001.34.00500</v>
          </cell>
          <cell r="B2104" t="str">
            <v>Fornecimento e Instalação de Torneira de PVC Curta Para Tanque 3/4 Pol</v>
          </cell>
          <cell r="C2104" t="str">
            <v>UN</v>
          </cell>
          <cell r="D2104">
            <v>3.3376000000000001</v>
          </cell>
        </row>
        <row r="2105">
          <cell r="A2105" t="str">
            <v>001.34.00520</v>
          </cell>
          <cell r="B2105" t="str">
            <v>Fornecimento e Instalação de Ducha Higiênica CR 1984 C 50 Jet Flex - Perflex</v>
          </cell>
          <cell r="C2105" t="str">
            <v>UN</v>
          </cell>
          <cell r="D2105">
            <v>114.0911</v>
          </cell>
        </row>
        <row r="2106">
          <cell r="A2106" t="str">
            <v>001.34.00540</v>
          </cell>
          <cell r="B2106" t="str">
            <v>Fornecimento e Instalação de Lavatório de Louça Branca com Coluna de Primeira (Linha Ravena) Inclusive Acessórios de Fixação</v>
          </cell>
          <cell r="C2106" t="str">
            <v>UN</v>
          </cell>
          <cell r="D2106">
            <v>108.8947</v>
          </cell>
        </row>
        <row r="2107">
          <cell r="A2107" t="str">
            <v>001.34.00560</v>
          </cell>
          <cell r="B2107" t="str">
            <v>Fornecimento e Instalação de Lavatório de Louça Branca com Coluna de Primeira (Linha Izzi) Inclusive Acessórios de Fixação</v>
          </cell>
          <cell r="C2107" t="str">
            <v>UN</v>
          </cell>
          <cell r="D2107">
            <v>74.884699999999995</v>
          </cell>
        </row>
        <row r="2108">
          <cell r="A2108" t="str">
            <v>001.34.00580</v>
          </cell>
          <cell r="B2108" t="str">
            <v>Fornecimento e Instalação de Cuba de Embutir Oval Deca, na Cor Branca , s/ Válvula</v>
          </cell>
          <cell r="C2108" t="str">
            <v>UN</v>
          </cell>
          <cell r="D2108">
            <v>49.744300000000003</v>
          </cell>
        </row>
        <row r="2109">
          <cell r="A2109" t="str">
            <v>001.34.00600</v>
          </cell>
          <cell r="B2109" t="str">
            <v>Fornecimento e Instalação de Bacia Sanitária de Louça Branca de Primeira (Linha Ravena) Inclusive Acessórios de Fixação</v>
          </cell>
          <cell r="C2109" t="str">
            <v>UN</v>
          </cell>
          <cell r="D2109">
            <v>105.51430000000001</v>
          </cell>
        </row>
        <row r="2110">
          <cell r="A2110" t="str">
            <v>001.34.00620</v>
          </cell>
          <cell r="B2110" t="str">
            <v>Fornecimento e Instalação de Bacia Sanitária de Louça Branca de Primeira (Linha Ravena)  c/ Caixa Acoplada Inclusive Acessórios de Fixação</v>
          </cell>
          <cell r="C2110" t="str">
            <v>UN</v>
          </cell>
          <cell r="D2110">
            <v>217.86429999999999</v>
          </cell>
        </row>
        <row r="2111">
          <cell r="A2111" t="str">
            <v>001.34.00640</v>
          </cell>
          <cell r="B2111" t="str">
            <v>Fornecimento e Instalação de Bacia Sanitária de Louça Branca de Primeira (Linha Izzi) Inclusive Acessórios de Fixação</v>
          </cell>
          <cell r="C2111" t="str">
            <v>UN</v>
          </cell>
          <cell r="D2111">
            <v>65.684299999999993</v>
          </cell>
        </row>
        <row r="2112">
          <cell r="A2112" t="str">
            <v>001.34.00660</v>
          </cell>
          <cell r="B2112" t="str">
            <v>Fornecimento e Instalação de Assenta Plastico Standard Branco Para Bacia Sanitária</v>
          </cell>
          <cell r="C2112" t="str">
            <v>UN</v>
          </cell>
          <cell r="D2112">
            <v>11.913500000000001</v>
          </cell>
        </row>
        <row r="2113">
          <cell r="A2113" t="str">
            <v>001.34.00680</v>
          </cell>
          <cell r="B2113" t="str">
            <v>Fornecimento e Instalação de Assento Plástico Almofadado de Primeira Branco Para Bacia Sanitária</v>
          </cell>
          <cell r="C2113" t="str">
            <v>UN</v>
          </cell>
          <cell r="D2113">
            <v>40.8035</v>
          </cell>
        </row>
        <row r="2114">
          <cell r="A2114" t="str">
            <v>001.34.00700</v>
          </cell>
          <cell r="B2114" t="str">
            <v>Fornecimento e Instalação de Mictório de Louça Branca Incepa de Primeira, Incl. Assessórios de Fixação</v>
          </cell>
          <cell r="C2114" t="str">
            <v>UN</v>
          </cell>
          <cell r="D2114">
            <v>105.2743</v>
          </cell>
        </row>
        <row r="2115">
          <cell r="A2115" t="str">
            <v>001.34.00720</v>
          </cell>
          <cell r="B2115" t="str">
            <v>Fornecimento e Instalação de Mictório de Aço Inoxidável de 1.20 m Inclusive Acessórios de Fixação</v>
          </cell>
          <cell r="C2115" t="str">
            <v>UN</v>
          </cell>
          <cell r="D2115">
            <v>397.40940000000001</v>
          </cell>
        </row>
        <row r="2116">
          <cell r="A2116" t="str">
            <v>001.34.00740</v>
          </cell>
          <cell r="B2116" t="str">
            <v>Fornecimento e Instalação de Kit Assessórios Para Banheiro 05 Peças Linha Evidence Deca</v>
          </cell>
          <cell r="C2116" t="str">
            <v>UN</v>
          </cell>
          <cell r="D2116">
            <v>316.91430000000003</v>
          </cell>
        </row>
        <row r="2117">
          <cell r="A2117" t="str">
            <v>001.34.00760</v>
          </cell>
          <cell r="B2117" t="str">
            <v>Fornecimento e Instalação de Kit Assessórios Para Banheiro 05 Peças Linha Single CHR Docol</v>
          </cell>
          <cell r="C2117" t="str">
            <v>UN</v>
          </cell>
          <cell r="D2117">
            <v>250.5943</v>
          </cell>
        </row>
        <row r="2118">
          <cell r="A2118" t="str">
            <v>001.34.00780</v>
          </cell>
          <cell r="B2118" t="str">
            <v>Fornecimento e Instalação de Kit Assessórios Para Banheiro 05 Peças Linha Popular</v>
          </cell>
          <cell r="C2118" t="str">
            <v>UN</v>
          </cell>
          <cell r="D2118">
            <v>32.504300000000001</v>
          </cell>
        </row>
        <row r="2119">
          <cell r="A2119" t="str">
            <v>001.34.00800</v>
          </cell>
          <cell r="B2119" t="str">
            <v>Fornecimento e Instalação  de Espelho para Lavatorio Oval Grande 45 cm x 56 cm</v>
          </cell>
          <cell r="C2119" t="str">
            <v>UN</v>
          </cell>
          <cell r="D2119">
            <v>64.993799999999993</v>
          </cell>
        </row>
        <row r="2120">
          <cell r="A2120" t="str">
            <v>001.34.00820</v>
          </cell>
          <cell r="B2120" t="str">
            <v>Fornecimento e Instalação  de Espelho para Lavatorio Oval 33 cm x 44 cm</v>
          </cell>
          <cell r="C2120" t="str">
            <v>UN</v>
          </cell>
          <cell r="D2120">
            <v>49.433799999999998</v>
          </cell>
        </row>
        <row r="2121">
          <cell r="A2121" t="str">
            <v>001.34.00840</v>
          </cell>
          <cell r="B2121" t="str">
            <v>Fornecimento e instalação de chuveiro de pvc branco n. 1 da cipla ou similar</v>
          </cell>
          <cell r="C2121" t="str">
            <v>UN</v>
          </cell>
          <cell r="D2121">
            <v>5.75</v>
          </cell>
        </row>
        <row r="2122">
          <cell r="A2122" t="str">
            <v>001.34.00860</v>
          </cell>
          <cell r="B2122" t="str">
            <v>Fornecimento e instalação de chuveiro de pvc cromado n. 2 da cipla ou similar</v>
          </cell>
          <cell r="C2122" t="str">
            <v>UN</v>
          </cell>
          <cell r="D2122">
            <v>13.44</v>
          </cell>
        </row>
        <row r="2123">
          <cell r="A2123" t="str">
            <v>001.34.00880</v>
          </cell>
          <cell r="B2123" t="str">
            <v>Fornecimento e Instalação de Anel de Vedação Para Bacia Sanitária</v>
          </cell>
          <cell r="C2123" t="str">
            <v>UN</v>
          </cell>
          <cell r="D2123">
            <v>16.5639</v>
          </cell>
        </row>
        <row r="2124">
          <cell r="A2124" t="str">
            <v>001.34.00900</v>
          </cell>
          <cell r="B2124" t="str">
            <v>Fornecimento e Instalação de Chuveiro Elétrico 110v ou 220v 03 Temperaturas, Incl. Assessórios</v>
          </cell>
          <cell r="C2124" t="str">
            <v>UN</v>
          </cell>
          <cell r="D2124">
            <v>40.992199999999997</v>
          </cell>
        </row>
        <row r="2125">
          <cell r="A2125" t="str">
            <v>001.34.00920</v>
          </cell>
          <cell r="B2125" t="str">
            <v>Fornecimento e Instalação de Ligação  para Bacia Sanitária em Tubo em PVC Rigido Branco de 40mm</v>
          </cell>
          <cell r="C2125" t="str">
            <v>UN</v>
          </cell>
          <cell r="D2125">
            <v>4.0934999999999997</v>
          </cell>
        </row>
        <row r="2126">
          <cell r="A2126" t="str">
            <v>001.34.00940</v>
          </cell>
          <cell r="B2126" t="str">
            <v>Fornecimento e Instalação de Ligação  para Bacia Sanitária em Tubo em PVC Rigido Cromado de 40mm</v>
          </cell>
          <cell r="C2126" t="str">
            <v>UN</v>
          </cell>
          <cell r="D2126">
            <v>9.2934999999999999</v>
          </cell>
        </row>
        <row r="2127">
          <cell r="A2127" t="str">
            <v>001.34.00960</v>
          </cell>
          <cell r="B2127" t="str">
            <v>Fornecimento e Instalação de Ligação  para Bacia Sanitária em Tubo em Metal Cromado de 40mm</v>
          </cell>
          <cell r="C2127" t="str">
            <v>UN</v>
          </cell>
          <cell r="D2127">
            <v>24.483499999999999</v>
          </cell>
        </row>
        <row r="2128">
          <cell r="A2128" t="str">
            <v>001.34.00980</v>
          </cell>
          <cell r="B2128" t="str">
            <v>Fornecimento e Instalação de SPUD de Borracha P/ Bacia Sanitária</v>
          </cell>
          <cell r="C2128" t="str">
            <v>UN</v>
          </cell>
          <cell r="D2128">
            <v>1.4718</v>
          </cell>
        </row>
        <row r="2129">
          <cell r="A2129" t="str">
            <v>001.34.01000</v>
          </cell>
          <cell r="B2129" t="str">
            <v>Fornecimento e Instalação de Caixa de Descarga Externa em PVC Branco Inclusive Tubo de Descarga e Acessórios</v>
          </cell>
          <cell r="C2129" t="str">
            <v>CJ</v>
          </cell>
          <cell r="D2129">
            <v>28.107800000000001</v>
          </cell>
        </row>
        <row r="2130">
          <cell r="A2130" t="str">
            <v>001.34.01020</v>
          </cell>
          <cell r="B2130" t="str">
            <v>Fornecimento e Instalação de Engate Plástico Flexível PVC Branco 40 cm</v>
          </cell>
          <cell r="C2130" t="str">
            <v>UN</v>
          </cell>
          <cell r="D2130">
            <v>3.7452000000000001</v>
          </cell>
        </row>
        <row r="2131">
          <cell r="A2131" t="str">
            <v>001.34.01040</v>
          </cell>
          <cell r="B2131" t="str">
            <v>Fornecimento e Instalação de Engate Plástico Flexível PVC Branco 30 cm</v>
          </cell>
          <cell r="C2131" t="str">
            <v>UN</v>
          </cell>
          <cell r="D2131">
            <v>3.4752000000000001</v>
          </cell>
        </row>
        <row r="2132">
          <cell r="A2132" t="str">
            <v>001.34.01060</v>
          </cell>
          <cell r="B2132" t="str">
            <v>Fornecimento e Instalação de Engate Metal Flexível Cromado 40 cm</v>
          </cell>
          <cell r="C2132" t="str">
            <v>UN</v>
          </cell>
          <cell r="D2132">
            <v>43.3752</v>
          </cell>
        </row>
        <row r="2133">
          <cell r="A2133" t="str">
            <v>001.34.01080</v>
          </cell>
          <cell r="B2133" t="str">
            <v>Fornecimento e Instalação de Engate Metal Flexível Cromado 30 cm</v>
          </cell>
          <cell r="C2133" t="str">
            <v>UN</v>
          </cell>
          <cell r="D2133">
            <v>19.815200000000001</v>
          </cell>
        </row>
        <row r="2134">
          <cell r="A2134" t="str">
            <v>001.35</v>
          </cell>
          <cell r="B2134" t="str">
            <v>INSTALAÇÕES HIDRÁULICAS - CUBAS E TANQUE</v>
          </cell>
        </row>
        <row r="2135">
          <cell r="A2135" t="str">
            <v>001.35.00020</v>
          </cell>
          <cell r="B2135" t="str">
            <v>Fornecimento e Instalação de Banca ou Tampo em Aço Inoxidável de 1.20x0.60m, 1 Cuba Oval, Incl. Válvula Americana</v>
          </cell>
          <cell r="C2135" t="str">
            <v>UN</v>
          </cell>
          <cell r="D2135">
            <v>178.25409999999999</v>
          </cell>
        </row>
        <row r="2136">
          <cell r="A2136" t="str">
            <v>001.35.00040</v>
          </cell>
          <cell r="B2136" t="str">
            <v>Fornecimento e Instalação de Banca ou Tampo em Aço Inoxidável de 1.60x0.60m, 2 Cubas Oval, Incl. Válvula Americana</v>
          </cell>
          <cell r="C2136" t="str">
            <v>UN</v>
          </cell>
          <cell r="D2136">
            <v>296.73410000000001</v>
          </cell>
        </row>
        <row r="2137">
          <cell r="A2137" t="str">
            <v>001.35.00060</v>
          </cell>
          <cell r="B2137" t="str">
            <v>Fornecimento e Instalação de Banca ou Tampo em Aço Inoxidável de 1.80x0.60m, 1 Cubas Retangular, Incl. Válvula Americana</v>
          </cell>
          <cell r="C2137" t="str">
            <v>UN</v>
          </cell>
          <cell r="D2137">
            <v>328.47410000000002</v>
          </cell>
        </row>
        <row r="2138">
          <cell r="A2138" t="str">
            <v>001.35.00080</v>
          </cell>
          <cell r="B2138" t="str">
            <v>Fornecimento e Instalação de Banca ou Tampo em Aço Inoxidável de 1.80x0.60m, 2 Cubas Retangular, Incl. Válvula Americana</v>
          </cell>
          <cell r="C2138" t="str">
            <v>UN</v>
          </cell>
          <cell r="D2138">
            <v>344.82409999999999</v>
          </cell>
        </row>
        <row r="2139">
          <cell r="A2139" t="str">
            <v>001.35.00100</v>
          </cell>
          <cell r="B2139" t="str">
            <v>Fornecimento e Instalação de Cuba Em Aço Inox 304 Dim. 350 x 560 MM,  s/ Válvula Americana</v>
          </cell>
          <cell r="C2139" t="str">
            <v>UN</v>
          </cell>
          <cell r="D2139">
            <v>118.6781</v>
          </cell>
        </row>
        <row r="2140">
          <cell r="A2140" t="str">
            <v>001.35.00120</v>
          </cell>
          <cell r="B2140" t="str">
            <v>Fornecimento e Instalação de Banca ou Tampo em Mármore Sintético 100 x 56 cm, 01 Cuba, s/ Válvula</v>
          </cell>
          <cell r="C2140" t="str">
            <v>UN</v>
          </cell>
          <cell r="D2140">
            <v>66.889099999999999</v>
          </cell>
        </row>
        <row r="2141">
          <cell r="A2141" t="str">
            <v>001.35.00140</v>
          </cell>
          <cell r="B2141" t="str">
            <v>Fornecimento e Instalação de Banca ou Tampo em Mármore Sintético 180 x 56 cm, 02 Cubas, s/ Válvula</v>
          </cell>
          <cell r="C2141" t="str">
            <v>UN</v>
          </cell>
          <cell r="D2141">
            <v>175.58410000000001</v>
          </cell>
        </row>
        <row r="2142">
          <cell r="A2142" t="str">
            <v>001.35.00160</v>
          </cell>
          <cell r="B2142" t="str">
            <v>Fornecimento e Instalação de Tanque em Mármore Sintético 100 x 56 cm, 01 Cuba, s/ Válvula</v>
          </cell>
          <cell r="C2142" t="str">
            <v>UN</v>
          </cell>
          <cell r="D2142">
            <v>102.69410000000001</v>
          </cell>
        </row>
        <row r="2143">
          <cell r="A2143" t="str">
            <v>001.35.00180</v>
          </cell>
          <cell r="B2143" t="str">
            <v>Fornecimento e Instalação de Tanque em Mármore Sintético 115 x 60 cm, 02 Cubas, s/ Válvula</v>
          </cell>
          <cell r="C2143" t="str">
            <v>UN</v>
          </cell>
          <cell r="D2143">
            <v>143.86410000000001</v>
          </cell>
        </row>
        <row r="2144">
          <cell r="A2144" t="str">
            <v>001.35.00200</v>
          </cell>
          <cell r="B2144" t="str">
            <v>Fornecimento e Instalação de Tanque em Mármore Sintético 165 x 60 cm, 03 Cubas, s/ Válvula</v>
          </cell>
          <cell r="C2144" t="str">
            <v>UN</v>
          </cell>
          <cell r="D2144">
            <v>213.47409999999999</v>
          </cell>
        </row>
        <row r="2145">
          <cell r="A2145" t="str">
            <v>001.35.00220</v>
          </cell>
          <cell r="B2145" t="str">
            <v>Fornecimento e Instalação de Tanque em PVC 15 Lts, s/ Válvula</v>
          </cell>
          <cell r="C2145" t="str">
            <v>UN</v>
          </cell>
          <cell r="D2145">
            <v>38.848100000000002</v>
          </cell>
        </row>
        <row r="2146">
          <cell r="A2146" t="str">
            <v>001.35.00240</v>
          </cell>
          <cell r="B2146" t="str">
            <v>Fornecimento e Instalação de Tanque em PVC 24 Lts, s/ Válvula</v>
          </cell>
          <cell r="C2146" t="str">
            <v>UN</v>
          </cell>
          <cell r="D2146">
            <v>65.754099999999994</v>
          </cell>
        </row>
        <row r="2147">
          <cell r="A2147" t="str">
            <v>001.35.00260</v>
          </cell>
          <cell r="B2147" t="str">
            <v>Fornecimento e Instalação de Sifão Sanfonado Flexível  Universal</v>
          </cell>
          <cell r="C2147" t="str">
            <v>UN</v>
          </cell>
          <cell r="D2147">
            <v>9.2240000000000002</v>
          </cell>
        </row>
        <row r="2148">
          <cell r="A2148" t="str">
            <v>001.35.00280</v>
          </cell>
          <cell r="B2148" t="str">
            <v>Fornecimento e Instalação de Sifão Tipo Copo Em PVC Branco</v>
          </cell>
          <cell r="C2148" t="str">
            <v>UN</v>
          </cell>
          <cell r="D2148">
            <v>10.874000000000001</v>
          </cell>
        </row>
        <row r="2149">
          <cell r="A2149" t="str">
            <v>001.35.00300</v>
          </cell>
          <cell r="B2149" t="str">
            <v>Fornecimento e Instalação de Sifão Tipo Copo Em PVC Cromado</v>
          </cell>
          <cell r="C2149" t="str">
            <v>UN</v>
          </cell>
          <cell r="D2149">
            <v>22.204000000000001</v>
          </cell>
        </row>
        <row r="2150">
          <cell r="A2150" t="str">
            <v>001.35.00320</v>
          </cell>
          <cell r="B2150" t="str">
            <v>Fornecimento e Instalação de Sifão Tipo Copo Em Metal Cromado 1 x 1 1/2""""""""""""""""</v>
          </cell>
          <cell r="C2150" t="str">
            <v>UN</v>
          </cell>
          <cell r="D2150">
            <v>45.283999999999999</v>
          </cell>
        </row>
        <row r="2151">
          <cell r="A2151" t="str">
            <v>001.35.00340</v>
          </cell>
          <cell r="B2151" t="str">
            <v>Fornecimento e Instalação de Sifão Tipo Copo Em Metal Cromado 1 1/2 x 2""""""""""""""""</v>
          </cell>
          <cell r="C2151" t="str">
            <v>M2</v>
          </cell>
          <cell r="D2151">
            <v>67.851799999999997</v>
          </cell>
        </row>
        <row r="2152">
          <cell r="A2152" t="str">
            <v>001.36</v>
          </cell>
          <cell r="B2152" t="str">
            <v>INSTALAÇÕES SANITÁRIAS - PRIMÁRIO E SECUNDÁRIO</v>
          </cell>
        </row>
        <row r="2153">
          <cell r="A2153" t="str">
            <v>001.36.00020</v>
          </cell>
          <cell r="B2153" t="str">
            <v>Fornecimento e Instalação de Tubo de PVC Rígido Cor Branca Com Ponta e Bolsa em Barra de 6m diâmetro 40 mm</v>
          </cell>
          <cell r="C2153" t="str">
            <v>ML</v>
          </cell>
          <cell r="D2153">
            <v>2.8875999999999999</v>
          </cell>
        </row>
        <row r="2154">
          <cell r="A2154" t="str">
            <v>001.36.00040</v>
          </cell>
          <cell r="B2154" t="str">
            <v>Fornecimento e Instalação de Tubo de PVC Rígido Cor Branca Com Ponta e Bolsa em Barra de 6m diâmetro 50 mm</v>
          </cell>
          <cell r="C2154" t="str">
            <v>ML</v>
          </cell>
          <cell r="D2154">
            <v>4.4263000000000003</v>
          </cell>
        </row>
        <row r="2155">
          <cell r="A2155" t="str">
            <v>001.36.00060</v>
          </cell>
          <cell r="B2155" t="str">
            <v>Fornecimento e Instalação de Tubo de PVC Rígido Cor Branca Com Ponta e Bolsa em Barra de 6 m  diâmetro 75 mm</v>
          </cell>
          <cell r="C2155" t="str">
            <v>ML</v>
          </cell>
          <cell r="D2155">
            <v>8.2039000000000009</v>
          </cell>
        </row>
        <row r="2156">
          <cell r="A2156" t="str">
            <v>001.36.00080</v>
          </cell>
          <cell r="B2156" t="str">
            <v>Fornecimento e Instalação de Tubo de PVC Rígido Cor Branca Com Ponta e Bolsa em Barra de 6 m diâmetro 100 mm</v>
          </cell>
          <cell r="C2156" t="str">
            <v>ML</v>
          </cell>
          <cell r="D2156">
            <v>7.5038999999999998</v>
          </cell>
        </row>
        <row r="2157">
          <cell r="A2157" t="str">
            <v>001.36.00100</v>
          </cell>
          <cell r="B2157" t="str">
            <v>Fornecimento e Instalação de Tubo de PVC Rígido Cor Branca Com Ponta e Bolsa em Barra de 6 m  diâmetro 150 mm</v>
          </cell>
          <cell r="C2157" t="str">
            <v>ML</v>
          </cell>
          <cell r="D2157">
            <v>25.150400000000001</v>
          </cell>
        </row>
        <row r="2158">
          <cell r="A2158" t="str">
            <v>001.36.00120</v>
          </cell>
          <cell r="B2158" t="str">
            <v>Fornecimento e Instalação de Tubo de PVC Rígido Cor Branca Com Ponta e Bolsa em Barra de 6 m diâmetro 200 mm</v>
          </cell>
          <cell r="C2158" t="str">
            <v>ML</v>
          </cell>
          <cell r="D2158">
            <v>34.836599999999997</v>
          </cell>
        </row>
        <row r="2159">
          <cell r="A2159" t="str">
            <v>001.36.00140</v>
          </cell>
          <cell r="B2159" t="str">
            <v>Fornecimento e Instalação de Tubo de PVC Rígido Cor Branca Com Ponta e Bolsa em Barra de 6 m  diâmetro 250 mm</v>
          </cell>
          <cell r="C2159" t="str">
            <v>ML</v>
          </cell>
          <cell r="D2159">
            <v>56.672800000000002</v>
          </cell>
        </row>
        <row r="2160">
          <cell r="A2160" t="str">
            <v>001.36.00160</v>
          </cell>
          <cell r="B2160" t="str">
            <v>Fornecimento e Instalação de Tubo de PVC Rígido Cor Branca Com Ponta e Bolsa em Barra de 6 m  diâmetro 300 mm</v>
          </cell>
          <cell r="C2160" t="str">
            <v>ML</v>
          </cell>
          <cell r="D2160">
            <v>79.058300000000003</v>
          </cell>
        </row>
        <row r="2161">
          <cell r="A2161" t="str">
            <v>001.36.00180</v>
          </cell>
          <cell r="B2161" t="str">
            <v>Fornecimento e Instalação de Tubo de PVC Rígido Cor Branca Com Ponta e Bolsa em Barra de 6 m diâmetro 400 mm</v>
          </cell>
          <cell r="C2161" t="str">
            <v>ML</v>
          </cell>
          <cell r="D2161">
            <v>80.024000000000001</v>
          </cell>
        </row>
        <row r="2162">
          <cell r="A2162" t="str">
            <v>001.36.00200</v>
          </cell>
          <cell r="B2162" t="str">
            <v>Fornecimento e Instalação de Joelho 90º de PVC Rígido Branco diam.40 mm</v>
          </cell>
          <cell r="C2162" t="str">
            <v>UN</v>
          </cell>
          <cell r="D2162">
            <v>3.2271000000000001</v>
          </cell>
        </row>
        <row r="2163">
          <cell r="A2163" t="str">
            <v>001.36.00220</v>
          </cell>
          <cell r="B2163" t="str">
            <v>Fornecimento e Instalação de Joelho 90º de PVC Rígido Branco  diam.50 mm</v>
          </cell>
          <cell r="C2163" t="str">
            <v>UN</v>
          </cell>
          <cell r="D2163">
            <v>3.7471000000000001</v>
          </cell>
        </row>
        <row r="2164">
          <cell r="A2164" t="str">
            <v>001.36.00240</v>
          </cell>
          <cell r="B2164" t="str">
            <v>Fornecimento e Instalação de Joelho 90º de PVC Rígido Branco  diam.75 mm</v>
          </cell>
          <cell r="C2164" t="str">
            <v>UN</v>
          </cell>
          <cell r="D2164">
            <v>6.7843999999999998</v>
          </cell>
        </row>
        <row r="2165">
          <cell r="A2165" t="str">
            <v>001.36.00260</v>
          </cell>
          <cell r="B2165" t="str">
            <v>Fornecimento e Instalação de Joelho 90º de PVC Rígido Branco  diam.100 mm</v>
          </cell>
          <cell r="C2165" t="str">
            <v>UN</v>
          </cell>
          <cell r="D2165">
            <v>11.075900000000001</v>
          </cell>
        </row>
        <row r="2166">
          <cell r="A2166" t="str">
            <v>001.36.00280</v>
          </cell>
          <cell r="B2166" t="str">
            <v>Fornecimento e Instalação de Joelho 90º com Anel de Borracha, de PVC Rígido Cor Branca diam. 40 mm</v>
          </cell>
          <cell r="C2166" t="str">
            <v>UN</v>
          </cell>
          <cell r="D2166">
            <v>4.5071000000000003</v>
          </cell>
        </row>
        <row r="2167">
          <cell r="A2167" t="str">
            <v>001.36.00300</v>
          </cell>
          <cell r="B2167" t="str">
            <v>Fornecimento e Instalação de Joelho 90º com Anel de Borracha, de PVC Rígido Cor Branca diam. 50 mm</v>
          </cell>
          <cell r="C2167" t="str">
            <v>UN</v>
          </cell>
          <cell r="D2167">
            <v>3.8671000000000002</v>
          </cell>
        </row>
        <row r="2168">
          <cell r="A2168" t="str">
            <v>001.36.00320</v>
          </cell>
          <cell r="B2168" t="str">
            <v>Fornecimento e Instalação de Joelho 45º PVC Rígido Branco Diam.40 mm</v>
          </cell>
          <cell r="C2168" t="str">
            <v>UN</v>
          </cell>
          <cell r="D2168">
            <v>3.6671</v>
          </cell>
        </row>
        <row r="2169">
          <cell r="A2169" t="str">
            <v>001.36.00340</v>
          </cell>
          <cell r="B2169" t="str">
            <v>Fornecimento e Instalação de Joelho 45º PVC Rígido Branco diam. 50 mm</v>
          </cell>
          <cell r="C2169" t="str">
            <v>UN</v>
          </cell>
          <cell r="D2169">
            <v>4.3270999999999997</v>
          </cell>
        </row>
        <row r="2170">
          <cell r="A2170" t="str">
            <v>001.36.00360</v>
          </cell>
          <cell r="B2170" t="str">
            <v>Fornecimento e Instalação de Joelho 45º PVC Rígido Branco diam. 75 mm</v>
          </cell>
          <cell r="C2170" t="str">
            <v>UN</v>
          </cell>
          <cell r="D2170">
            <v>7.5444000000000004</v>
          </cell>
        </row>
        <row r="2171">
          <cell r="A2171" t="str">
            <v>001.36.00380</v>
          </cell>
          <cell r="B2171" t="str">
            <v>Fornecimento e Instalação de Joelho 45º PVC Rígido Branco  diam.100 mm</v>
          </cell>
          <cell r="C2171" t="str">
            <v>UN</v>
          </cell>
          <cell r="D2171">
            <v>9.1031999999999993</v>
          </cell>
        </row>
        <row r="2172">
          <cell r="A2172" t="str">
            <v>001.36.00400</v>
          </cell>
          <cell r="B2172" t="str">
            <v>Fornecimento e Instalação de Te Sanitário Curto Branco diam.40x40 mm</v>
          </cell>
          <cell r="C2172" t="str">
            <v>UN</v>
          </cell>
          <cell r="D2172">
            <v>5.4191000000000003</v>
          </cell>
        </row>
        <row r="2173">
          <cell r="A2173" t="str">
            <v>001.36.00420</v>
          </cell>
          <cell r="B2173" t="str">
            <v>Fornecimento e Instalação de Te Sanitário Curto Branco diam. 50x50 mm</v>
          </cell>
          <cell r="C2173" t="str">
            <v>UN</v>
          </cell>
          <cell r="D2173">
            <v>7.5891000000000002</v>
          </cell>
        </row>
        <row r="2174">
          <cell r="A2174" t="str">
            <v>001.36.00440</v>
          </cell>
          <cell r="B2174" t="str">
            <v>Fornecimento e Instalação de Te Sanitário Curto Branco diam. 75x50 mm</v>
          </cell>
          <cell r="C2174" t="str">
            <v>UN</v>
          </cell>
          <cell r="D2174">
            <v>11.514699999999999</v>
          </cell>
        </row>
        <row r="2175">
          <cell r="A2175" t="str">
            <v>001.36.00460</v>
          </cell>
          <cell r="B2175" t="str">
            <v>Fornecimento e Instalação de Te Sanitário Curto Branco diam. 75x75 mm</v>
          </cell>
          <cell r="C2175" t="str">
            <v>UN</v>
          </cell>
          <cell r="D2175">
            <v>13.014699999999999</v>
          </cell>
        </row>
        <row r="2176">
          <cell r="A2176" t="str">
            <v>001.36.00480</v>
          </cell>
          <cell r="B2176" t="str">
            <v>Fornecimento e Instalação de Te Sanitário Curto Branco diam. 100x50 mm</v>
          </cell>
          <cell r="C2176" t="str">
            <v>UN</v>
          </cell>
          <cell r="D2176">
            <v>12.5596</v>
          </cell>
        </row>
        <row r="2177">
          <cell r="A2177" t="str">
            <v>001.36.00500</v>
          </cell>
          <cell r="B2177" t="str">
            <v>Fornecimento e Instalação de Te Sanitário Curto Branco diam. 100x75 mm</v>
          </cell>
          <cell r="C2177" t="str">
            <v>UN</v>
          </cell>
          <cell r="D2177">
            <v>36.467799999999997</v>
          </cell>
        </row>
        <row r="2178">
          <cell r="A2178" t="str">
            <v>001.36.00520</v>
          </cell>
          <cell r="B2178" t="str">
            <v>Fornecimento e Instalação de Te Sanitário Curto Branco diam.100x100 mm</v>
          </cell>
          <cell r="C2178" t="str">
            <v>UN</v>
          </cell>
          <cell r="D2178">
            <v>31.758099999999999</v>
          </cell>
        </row>
        <row r="2179">
          <cell r="A2179" t="str">
            <v>001.36.00540</v>
          </cell>
          <cell r="B2179" t="str">
            <v>Fornecimento e Instalação de Te Sanitário Curto Branco diam.150x150 mm</v>
          </cell>
          <cell r="C2179" t="str">
            <v>UN</v>
          </cell>
          <cell r="D2179">
            <v>39.733199999999997</v>
          </cell>
        </row>
        <row r="2180">
          <cell r="A2180" t="str">
            <v>001.36.00560</v>
          </cell>
          <cell r="B2180" t="str">
            <v>Fornecimento e Instalação de Luva Simples de PVC Branco diam.40 mm</v>
          </cell>
          <cell r="C2180" t="str">
            <v>UN</v>
          </cell>
          <cell r="D2180">
            <v>3.0926</v>
          </cell>
        </row>
        <row r="2181">
          <cell r="A2181" t="str">
            <v>001.36.00580</v>
          </cell>
          <cell r="B2181" t="str">
            <v>Fornecimento e Instalação de Luva Simples de PVC Branco diam. 50 mm</v>
          </cell>
          <cell r="C2181" t="str">
            <v>UN</v>
          </cell>
          <cell r="D2181">
            <v>4.1670999999999996</v>
          </cell>
        </row>
        <row r="2182">
          <cell r="A2182" t="str">
            <v>001.36.00600</v>
          </cell>
          <cell r="B2182" t="str">
            <v>Fornecimento e Instalação de Luva Simples de PVC Branco diam.75 mm</v>
          </cell>
          <cell r="C2182" t="str">
            <v>UN</v>
          </cell>
          <cell r="D2182">
            <v>6.3944000000000001</v>
          </cell>
        </row>
        <row r="2183">
          <cell r="A2183" t="str">
            <v>001.36.00620</v>
          </cell>
          <cell r="B2183" t="str">
            <v>Fornecimento e Instalação de Luva Simples de PVC Branco diam.100 mm</v>
          </cell>
          <cell r="C2183" t="str">
            <v>UN</v>
          </cell>
          <cell r="D2183">
            <v>7.8731999999999998</v>
          </cell>
        </row>
        <row r="2184">
          <cell r="A2184" t="str">
            <v>001.36.00640</v>
          </cell>
          <cell r="B2184" t="str">
            <v>Fornecimento e Instalação de Luva Simples de PVC Branco diam.150 mm</v>
          </cell>
          <cell r="C2184" t="str">
            <v>UN</v>
          </cell>
          <cell r="D2184">
            <v>26.2727</v>
          </cell>
        </row>
        <row r="2185">
          <cell r="A2185" t="str">
            <v>001.36.00660</v>
          </cell>
          <cell r="B2185" t="str">
            <v>Fornecimento e Instalação de Luva de Correr de PVC Branco diam. 50 mm</v>
          </cell>
          <cell r="C2185" t="str">
            <v>UN</v>
          </cell>
          <cell r="D2185">
            <v>5.7470999999999997</v>
          </cell>
        </row>
        <row r="2186">
          <cell r="A2186" t="str">
            <v>001.36.00680</v>
          </cell>
          <cell r="B2186" t="str">
            <v>Fornecimento e Instalação de Luva de Correr de PVC Branco  diam. 75 mm</v>
          </cell>
          <cell r="C2186" t="str">
            <v>UN</v>
          </cell>
          <cell r="D2186">
            <v>9.9844000000000008</v>
          </cell>
        </row>
        <row r="2187">
          <cell r="A2187" t="str">
            <v>001.36.00700</v>
          </cell>
          <cell r="B2187" t="str">
            <v>Fornecimento e Instalação de Luva de Correr de PVC Branco  diam.100 mm</v>
          </cell>
          <cell r="C2187" t="str">
            <v>UN</v>
          </cell>
          <cell r="D2187">
            <v>11.7102</v>
          </cell>
        </row>
        <row r="2188">
          <cell r="A2188" t="str">
            <v>001.36.00720</v>
          </cell>
          <cell r="B2188" t="str">
            <v>Fornecimento e Instalação de Redução Excêntrica em PVC Branco diam.75x50 mm</v>
          </cell>
          <cell r="C2188" t="str">
            <v>UN</v>
          </cell>
          <cell r="D2188">
            <v>5.1670999999999996</v>
          </cell>
        </row>
        <row r="2189">
          <cell r="A2189" t="str">
            <v>001.36.00740</v>
          </cell>
          <cell r="B2189" t="str">
            <v>Fornecimento e Instalação de Redução Excêntrica em PVC Branco diam.100x50 mm</v>
          </cell>
          <cell r="C2189" t="str">
            <v>UN</v>
          </cell>
          <cell r="D2189">
            <v>8.1157000000000004</v>
          </cell>
        </row>
        <row r="2190">
          <cell r="A2190" t="str">
            <v>001.36.00760</v>
          </cell>
          <cell r="B2190" t="str">
            <v>Fornecimento e Instalação de Redução Excêntrica em PVC Branco diam.100x75 mm</v>
          </cell>
          <cell r="C2190" t="str">
            <v>UN</v>
          </cell>
          <cell r="D2190">
            <v>8.6456999999999997</v>
          </cell>
        </row>
        <row r="2191">
          <cell r="A2191" t="str">
            <v>001.36.00780</v>
          </cell>
          <cell r="B2191" t="str">
            <v>Fornecimento e Instalação de Terminal de Ventilação PVC Branco  diam.50 mm</v>
          </cell>
          <cell r="C2191" t="str">
            <v>UN</v>
          </cell>
          <cell r="D2191">
            <v>5.2470999999999997</v>
          </cell>
        </row>
        <row r="2192">
          <cell r="A2192" t="str">
            <v>001.36.00800</v>
          </cell>
          <cell r="B2192" t="str">
            <v>Fornecimento e Instalação de Bucha de Redução PVC Branco Diam.50 mm x 40 mm</v>
          </cell>
          <cell r="C2192" t="str">
            <v>UN</v>
          </cell>
          <cell r="D2192">
            <v>2.8971</v>
          </cell>
        </row>
        <row r="2193">
          <cell r="A2193" t="str">
            <v>001.36.00820</v>
          </cell>
          <cell r="B2193" t="str">
            <v>Fornecimento e Instalação de Curva 90º de PVC Rígido Branco diam.40 mm</v>
          </cell>
          <cell r="C2193" t="str">
            <v>UN</v>
          </cell>
          <cell r="D2193">
            <v>5.0770999999999997</v>
          </cell>
        </row>
        <row r="2194">
          <cell r="A2194" t="str">
            <v>001.36.00840</v>
          </cell>
          <cell r="B2194" t="str">
            <v>Fornecimento e Instalação de Curva 90º de PVC Rígido Branco diam. 50 mm</v>
          </cell>
          <cell r="C2194" t="str">
            <v>UN</v>
          </cell>
          <cell r="D2194">
            <v>7.7271000000000001</v>
          </cell>
        </row>
        <row r="2195">
          <cell r="A2195" t="str">
            <v>001.36.00860</v>
          </cell>
          <cell r="B2195" t="str">
            <v>Fornecimento e Instalação de Curva 90º de PVC Rígido Branco diam. 75 mm</v>
          </cell>
          <cell r="C2195" t="str">
            <v>UN</v>
          </cell>
          <cell r="D2195">
            <v>19.284400000000002</v>
          </cell>
        </row>
        <row r="2196">
          <cell r="A2196" t="str">
            <v>001.36.00880</v>
          </cell>
          <cell r="B2196" t="str">
            <v>Fornecimento e Instalação de Curva 90º de PVC Rígido Branco Diam.100 mm</v>
          </cell>
          <cell r="C2196" t="str">
            <v>UN</v>
          </cell>
          <cell r="D2196">
            <v>15.5932</v>
          </cell>
        </row>
        <row r="2197">
          <cell r="A2197" t="str">
            <v>001.36.00900</v>
          </cell>
          <cell r="B2197" t="str">
            <v>Fornecimento e Instalação de Curva 90º de PVC Rígido Branco diam. 150 mm</v>
          </cell>
          <cell r="C2197" t="str">
            <v>UN</v>
          </cell>
          <cell r="D2197">
            <v>73.096800000000002</v>
          </cell>
        </row>
        <row r="2198">
          <cell r="A2198" t="str">
            <v>001.36.00920</v>
          </cell>
          <cell r="B2198" t="str">
            <v>Fornecimento e Instalação de Curva 45º de PVC Rígido Branco Diam.50 mm</v>
          </cell>
          <cell r="C2198" t="str">
            <v>UN</v>
          </cell>
          <cell r="D2198">
            <v>7.7370000000000001</v>
          </cell>
        </row>
        <row r="2199">
          <cell r="A2199" t="str">
            <v>001.36.00940</v>
          </cell>
          <cell r="B2199" t="str">
            <v>Fornecimento e Instalação de Curva 45º de PVC Rígido Branco diam. 75 mm</v>
          </cell>
          <cell r="C2199" t="str">
            <v>UN</v>
          </cell>
          <cell r="D2199">
            <v>17.474399999999999</v>
          </cell>
        </row>
        <row r="2200">
          <cell r="A2200" t="str">
            <v>001.36.00960</v>
          </cell>
          <cell r="B2200" t="str">
            <v>Fornecimento e Instalação de Curva 45º de PVC Rígido Branco diam.100 mm</v>
          </cell>
          <cell r="C2200" t="str">
            <v>UN</v>
          </cell>
          <cell r="D2200">
            <v>27.023199999999999</v>
          </cell>
        </row>
        <row r="2201">
          <cell r="A2201" t="str">
            <v>001.36.00980</v>
          </cell>
          <cell r="B2201" t="str">
            <v>Fornecimento e Instalação de Junção 45º PVC Rígido Branco diam.40 mm</v>
          </cell>
          <cell r="C2201" t="str">
            <v>UN</v>
          </cell>
          <cell r="D2201">
            <v>5.6391</v>
          </cell>
        </row>
        <row r="2202">
          <cell r="A2202" t="str">
            <v>001.36.01000</v>
          </cell>
          <cell r="B2202" t="str">
            <v>Fornecimento e Instalação de Junção Simples de PVC Rígido Branco diam. 50x50 mm</v>
          </cell>
          <cell r="C2202" t="str">
            <v>UN</v>
          </cell>
          <cell r="D2202">
            <v>8.4641000000000002</v>
          </cell>
        </row>
        <row r="2203">
          <cell r="A2203" t="str">
            <v>001.36.01020</v>
          </cell>
          <cell r="B2203" t="str">
            <v>Fornecimento e Instalação de Junção Simples de PVC Rígido Branco  diam. 75x50 mm</v>
          </cell>
          <cell r="C2203" t="str">
            <v>UN</v>
          </cell>
          <cell r="D2203">
            <v>10.082000000000001</v>
          </cell>
        </row>
        <row r="2204">
          <cell r="A2204" t="str">
            <v>001.36.01040</v>
          </cell>
          <cell r="B2204" t="str">
            <v>Fornecimento e Instalação de Junção Simples de PVC Rígido Branco  diam. 75x75 mm</v>
          </cell>
          <cell r="C2204" t="str">
            <v>UN</v>
          </cell>
          <cell r="D2204">
            <v>13.672000000000001</v>
          </cell>
        </row>
        <row r="2205">
          <cell r="A2205" t="str">
            <v>001.36.01060</v>
          </cell>
          <cell r="B2205" t="str">
            <v>Fornecimento e Instalação de Junção Simples de PVC Rígido Branco  diam. 100x50 mm</v>
          </cell>
          <cell r="C2205" t="str">
            <v>UN</v>
          </cell>
          <cell r="D2205">
            <v>14.3681</v>
          </cell>
        </row>
        <row r="2206">
          <cell r="A2206" t="str">
            <v>001.36.01080</v>
          </cell>
          <cell r="B2206" t="str">
            <v>Fornecimento e Instalação de Junção Simples de PVC Rígido Branco  diam. 100x75 mm</v>
          </cell>
          <cell r="C2206" t="str">
            <v>UN</v>
          </cell>
          <cell r="D2206">
            <v>19.0581</v>
          </cell>
        </row>
        <row r="2207">
          <cell r="A2207" t="str">
            <v>001.36.01100</v>
          </cell>
          <cell r="B2207" t="str">
            <v>Fornecimento e Instalação de Junção Simples de PVC Rígido Branco  diam. 100x100 mm</v>
          </cell>
          <cell r="C2207" t="str">
            <v>UN</v>
          </cell>
          <cell r="D2207">
            <v>13.9381</v>
          </cell>
        </row>
        <row r="2208">
          <cell r="A2208" t="str">
            <v>001.36.01120</v>
          </cell>
          <cell r="B2208" t="str">
            <v>Fornecimento e Instalação de Cap de PVC Rígido Branco diam. 50 mm</v>
          </cell>
          <cell r="C2208" t="str">
            <v>UN</v>
          </cell>
          <cell r="D2208">
            <v>3.3246000000000002</v>
          </cell>
        </row>
        <row r="2209">
          <cell r="A2209" t="str">
            <v>001.36.01140</v>
          </cell>
          <cell r="B2209" t="str">
            <v>Fornecimento e Instalação de Cap de PVC Rígido Branco diam. 75 mm</v>
          </cell>
          <cell r="C2209" t="str">
            <v>UN</v>
          </cell>
          <cell r="D2209">
            <v>5.2172000000000001</v>
          </cell>
        </row>
        <row r="2210">
          <cell r="A2210" t="str">
            <v>001.36.01160</v>
          </cell>
          <cell r="B2210" t="str">
            <v>Fornecimento e Instalação de Cap de PVC Rígido Branco diam.100 mm</v>
          </cell>
          <cell r="C2210" t="str">
            <v>UN</v>
          </cell>
          <cell r="D2210">
            <v>7.6817000000000002</v>
          </cell>
        </row>
        <row r="2211">
          <cell r="A2211" t="str">
            <v>001.36.01180</v>
          </cell>
          <cell r="B2211" t="str">
            <v>Fornecimento e Instalação de Corpo de Caixa Sifonada PVC Rígido Branco 100 x 100 x 50 mm</v>
          </cell>
          <cell r="C2211" t="str">
            <v>UN</v>
          </cell>
          <cell r="D2211">
            <v>7.8387000000000002</v>
          </cell>
        </row>
        <row r="2212">
          <cell r="A2212" t="str">
            <v>001.36.01200</v>
          </cell>
          <cell r="B2212" t="str">
            <v>Fornecimento e Instalação de Corpo de Caixa Sifonada PVC Rígido Branco 150 x 150 x 50 mm</v>
          </cell>
          <cell r="C2212" t="str">
            <v>UN</v>
          </cell>
          <cell r="D2212">
            <v>15.8287</v>
          </cell>
        </row>
        <row r="2213">
          <cell r="A2213" t="str">
            <v>001.36.01220</v>
          </cell>
          <cell r="B2213" t="str">
            <v>Fornecimento e Instalação de Corpo de Caixa Sifonada PVC Rígido Branco 150 x 185 x 75 mm</v>
          </cell>
          <cell r="C2213" t="str">
            <v>UN</v>
          </cell>
          <cell r="D2213">
            <v>17.7087</v>
          </cell>
        </row>
        <row r="2214">
          <cell r="A2214" t="str">
            <v>001.36.01240</v>
          </cell>
          <cell r="B2214" t="str">
            <v>Fornecimento e Instalação de Corpo de Caixa Sifonada PVC Rígido Branco 250 x 172 x 50 mm</v>
          </cell>
          <cell r="C2214" t="str">
            <v>UN</v>
          </cell>
          <cell r="D2214">
            <v>28.652200000000001</v>
          </cell>
        </row>
        <row r="2215">
          <cell r="A2215" t="str">
            <v>001.36.01260</v>
          </cell>
          <cell r="B2215" t="str">
            <v>Fornecimento e Instalação de Corpo de Caixa Sifonada PVC Rígido Branco 250 x 230 x 75 mm</v>
          </cell>
          <cell r="C2215" t="str">
            <v>UN</v>
          </cell>
          <cell r="D2215">
            <v>34.292200000000001</v>
          </cell>
        </row>
        <row r="2216">
          <cell r="A2216" t="str">
            <v>001.36.01280</v>
          </cell>
          <cell r="B2216" t="str">
            <v>Fornecimento e Instalação de Porta Grelha Quadrado Branco P/ Grelha Quadrada 100 mm</v>
          </cell>
          <cell r="C2216" t="str">
            <v>UN</v>
          </cell>
          <cell r="D2216">
            <v>3.0061</v>
          </cell>
        </row>
        <row r="2217">
          <cell r="A2217" t="str">
            <v>001.36.01300</v>
          </cell>
          <cell r="B2217" t="str">
            <v>Fornecimento e Instalação de Porta Grelha Quadrado Cromado P/ Grelha Redonda 100 mm</v>
          </cell>
          <cell r="C2217" t="str">
            <v>UN</v>
          </cell>
          <cell r="D2217">
            <v>2.3361000000000001</v>
          </cell>
        </row>
        <row r="2218">
          <cell r="A2218" t="str">
            <v>001.36.01320</v>
          </cell>
          <cell r="B2218" t="str">
            <v>Fornecimento e Instalação de Porta Grelha Redondo Branco 100 mm</v>
          </cell>
          <cell r="C2218" t="str">
            <v>UN</v>
          </cell>
          <cell r="D2218">
            <v>1.4360999999999999</v>
          </cell>
        </row>
        <row r="2219">
          <cell r="A2219" t="str">
            <v>001.36.01340</v>
          </cell>
          <cell r="B2219" t="str">
            <v>Fornecimento e Instalação de Porta Grelha Redondo Cromado 100 mm</v>
          </cell>
          <cell r="C2219" t="str">
            <v>UN</v>
          </cell>
          <cell r="D2219">
            <v>1.6061000000000001</v>
          </cell>
        </row>
        <row r="2220">
          <cell r="A2220" t="str">
            <v>001.36.01360</v>
          </cell>
          <cell r="B2220" t="str">
            <v>Fornecimento e Instalação de Porta Grelha Quadrada Prata 150 mm</v>
          </cell>
          <cell r="C2220" t="str">
            <v>UN</v>
          </cell>
          <cell r="D2220">
            <v>3.0461</v>
          </cell>
        </row>
        <row r="2221">
          <cell r="A2221" t="str">
            <v>001.36.01380</v>
          </cell>
          <cell r="B2221" t="str">
            <v>Fornecimento e Instalação de Porta Grelha Redonda Cinza 150 mm</v>
          </cell>
          <cell r="C2221" t="str">
            <v>UN</v>
          </cell>
          <cell r="D2221">
            <v>2.2461000000000002</v>
          </cell>
        </row>
        <row r="2222">
          <cell r="A2222" t="str">
            <v>001.36.01400</v>
          </cell>
          <cell r="B2222" t="str">
            <v>Fornecimento e Instalação de Porta Grelha Redonda Cromado 150 mm</v>
          </cell>
          <cell r="C2222" t="str">
            <v>UN</v>
          </cell>
          <cell r="D2222">
            <v>2.9661</v>
          </cell>
        </row>
        <row r="2223">
          <cell r="A2223" t="str">
            <v>001.36.01420</v>
          </cell>
          <cell r="B2223" t="str">
            <v>Fornecimento e Instalação de Grelha Redonda Branca 100 mm</v>
          </cell>
          <cell r="C2223" t="str">
            <v>UN</v>
          </cell>
          <cell r="D2223">
            <v>6.8635000000000002</v>
          </cell>
        </row>
        <row r="2224">
          <cell r="A2224" t="str">
            <v>001.36.01440</v>
          </cell>
          <cell r="B2224" t="str">
            <v>Fornecimento e Instalação de Grelha Redonda Alumínio 100 mm</v>
          </cell>
          <cell r="C2224" t="str">
            <v>UN</v>
          </cell>
          <cell r="D2224">
            <v>2.8761000000000001</v>
          </cell>
        </row>
        <row r="2225">
          <cell r="A2225" t="str">
            <v>001.36.01460</v>
          </cell>
          <cell r="B2225" t="str">
            <v>Fornecimento e Instalação de Grelha Quadrada Branca 150 mm</v>
          </cell>
          <cell r="C2225" t="str">
            <v>UN</v>
          </cell>
          <cell r="D2225">
            <v>3.0461</v>
          </cell>
        </row>
        <row r="2226">
          <cell r="A2226" t="str">
            <v>001.36.01480</v>
          </cell>
          <cell r="B2226" t="str">
            <v>Fornecimento e Instalação de Grelha Quadrada De Alumínio 150 mm</v>
          </cell>
          <cell r="C2226" t="str">
            <v>UN</v>
          </cell>
          <cell r="D2226">
            <v>15.1561</v>
          </cell>
        </row>
        <row r="2227">
          <cell r="A2227" t="str">
            <v>001.36.01500</v>
          </cell>
          <cell r="B2227" t="str">
            <v>Fornecimento e Instalação de Grelha Redonda Branca 150 mm</v>
          </cell>
          <cell r="C2227" t="str">
            <v>UN</v>
          </cell>
          <cell r="D2227">
            <v>1.8960999999999999</v>
          </cell>
        </row>
        <row r="2228">
          <cell r="A2228" t="str">
            <v>001.36.01520</v>
          </cell>
          <cell r="B2228" t="str">
            <v>Fornecimento e Instalação de Grelha Redonda Cromada 150 mm</v>
          </cell>
          <cell r="C2228" t="str">
            <v>UN</v>
          </cell>
          <cell r="D2228">
            <v>8.9560999999999993</v>
          </cell>
        </row>
        <row r="2229">
          <cell r="A2229" t="str">
            <v>001.36.01540</v>
          </cell>
          <cell r="B2229" t="str">
            <v>Fornecimento e Instalação de Porta Tampa Caixa Sifonada 250 mm</v>
          </cell>
          <cell r="C2229" t="str">
            <v>UN</v>
          </cell>
          <cell r="D2229">
            <v>5.9120999999999997</v>
          </cell>
        </row>
        <row r="2230">
          <cell r="A2230" t="str">
            <v>001.36.01560</v>
          </cell>
          <cell r="B2230" t="str">
            <v>Fornecimento e Instalação de Porta Tampa PVC Caixa Sifonada 250 mm</v>
          </cell>
          <cell r="C2230" t="str">
            <v>UN</v>
          </cell>
          <cell r="D2230">
            <v>8.7020999999999997</v>
          </cell>
        </row>
        <row r="2231">
          <cell r="A2231" t="str">
            <v>001.36.01580</v>
          </cell>
          <cell r="B2231" t="str">
            <v>Fornecimento e Instalação de Caixa Sifonada de PVC Rígido Branco 100 x 100 x 50  Para Esgoto Secundário Com Grelha Redonda PVC Cromado e Porta Grelha PVC Branco ou Cinza</v>
          </cell>
          <cell r="C2231" t="str">
            <v>UN</v>
          </cell>
          <cell r="D2231">
            <v>17.8247</v>
          </cell>
        </row>
        <row r="2232">
          <cell r="A2232" t="str">
            <v>001.36.01600</v>
          </cell>
          <cell r="B2232" t="str">
            <v>Fornecimento e Instalação de Caixa de Gordura de PVC Sifonada Conj. Completo de 250 x 172 x 50mm</v>
          </cell>
          <cell r="C2232" t="str">
            <v>UN</v>
          </cell>
          <cell r="D2232">
            <v>45.404699999999998</v>
          </cell>
        </row>
        <row r="2233">
          <cell r="A2233" t="str">
            <v>001.36.01620</v>
          </cell>
          <cell r="B2233" t="str">
            <v>Fornecimento e Instalação de Caixa de Gordura de PVC Sifonada Conj. Completo de 250 x 230 x 75mm</v>
          </cell>
          <cell r="C2233" t="str">
            <v>UN</v>
          </cell>
          <cell r="D2233">
            <v>50.784700000000001</v>
          </cell>
        </row>
        <row r="2234">
          <cell r="A2234" t="str">
            <v>001.36.01640</v>
          </cell>
          <cell r="B2234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34" t="str">
            <v>UN</v>
          </cell>
          <cell r="D2234">
            <v>23.231400000000001</v>
          </cell>
        </row>
        <row r="2235">
          <cell r="A2235" t="str">
            <v>001.36.01660</v>
          </cell>
          <cell r="B2235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35" t="str">
            <v>UN</v>
          </cell>
          <cell r="D2235">
            <v>40.063299999999998</v>
          </cell>
        </row>
        <row r="2236">
          <cell r="A2236" t="str">
            <v>001.36.01680</v>
          </cell>
          <cell r="B2236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36" t="str">
            <v>UN</v>
          </cell>
          <cell r="D2236">
            <v>54.901000000000003</v>
          </cell>
        </row>
        <row r="2237">
          <cell r="A2237" t="str">
            <v>001.36.01700</v>
          </cell>
          <cell r="B2237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37" t="str">
            <v>UN</v>
          </cell>
          <cell r="D2237">
            <v>66.790099999999995</v>
          </cell>
        </row>
        <row r="2238">
          <cell r="A2238" t="str">
            <v>001.36.01720</v>
          </cell>
          <cell r="B2238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38" t="str">
            <v>UN</v>
          </cell>
          <cell r="D2238">
            <v>71.784800000000004</v>
          </cell>
        </row>
        <row r="2239">
          <cell r="A2239" t="str">
            <v>001.36.01740</v>
          </cell>
          <cell r="B2239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39" t="str">
            <v>UN</v>
          </cell>
          <cell r="D2239">
            <v>98.110500000000002</v>
          </cell>
        </row>
        <row r="2240">
          <cell r="A2240" t="str">
            <v>001.36.01760</v>
          </cell>
          <cell r="B2240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40" t="str">
            <v>UN</v>
          </cell>
          <cell r="D2240">
            <v>113.9851</v>
          </cell>
        </row>
        <row r="2241">
          <cell r="A2241" t="str">
            <v>001.36.01780</v>
          </cell>
          <cell r="B2241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41" t="str">
            <v>UN</v>
          </cell>
          <cell r="D2241">
            <v>145.40780000000001</v>
          </cell>
        </row>
        <row r="2242">
          <cell r="A2242" t="str">
            <v>001.36.01800</v>
          </cell>
          <cell r="B2242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42" t="str">
            <v>UN</v>
          </cell>
          <cell r="D2242">
            <v>242.2895</v>
          </cell>
        </row>
        <row r="2243">
          <cell r="A2243" t="str">
            <v>001.36.01820</v>
          </cell>
          <cell r="B2243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43" t="str">
            <v>ML</v>
          </cell>
          <cell r="D2243">
            <v>69.007099999999994</v>
          </cell>
        </row>
        <row r="2244">
          <cell r="A2244" t="str">
            <v>001.36.01840</v>
          </cell>
          <cell r="B2244" t="str">
            <v>Fornecimento de camada filtrante de areia 0.30 m e pedra 0.60 m (seixo rolado) apiloado s/ escavação</v>
          </cell>
          <cell r="C2244" t="str">
            <v>ML</v>
          </cell>
          <cell r="D2244">
            <v>49.545499999999997</v>
          </cell>
        </row>
        <row r="2245">
          <cell r="A2245" t="str">
            <v>001.36.01860</v>
          </cell>
          <cell r="B2245" t="str">
            <v>Fornecimento de dreno em pedra (cascalho) seccao trapezoidal base maior 60 cm base menor 30 cm e altura 50 cm incl escavação</v>
          </cell>
          <cell r="C2245" t="str">
            <v>ML</v>
          </cell>
          <cell r="D2245">
            <v>8.7035</v>
          </cell>
        </row>
        <row r="2246">
          <cell r="A2246" t="str">
            <v>001.36.01880</v>
          </cell>
          <cell r="B2246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46" t="str">
            <v>ML</v>
          </cell>
          <cell r="D2246">
            <v>80.3994</v>
          </cell>
        </row>
        <row r="2247">
          <cell r="A2247" t="str">
            <v>001.36.01900</v>
          </cell>
          <cell r="B2247" t="str">
            <v>Fornecimento e aplicação de brita nr. 4</v>
          </cell>
          <cell r="C2247" t="str">
            <v>M3</v>
          </cell>
          <cell r="D2247">
            <v>64.261899999999997</v>
          </cell>
        </row>
        <row r="2248">
          <cell r="A2248" t="str">
            <v>001.36.01920</v>
          </cell>
          <cell r="B2248" t="str">
            <v>Execução de fossa séptica conf. det. n. 8 dop 1.60 x 0.80 x 1.50 m</v>
          </cell>
          <cell r="C2248" t="str">
            <v>UN</v>
          </cell>
          <cell r="D2248">
            <v>948.8252</v>
          </cell>
        </row>
        <row r="2249">
          <cell r="A2249" t="str">
            <v>001.36.01940</v>
          </cell>
          <cell r="B2249" t="str">
            <v>Execução de fossa séptica conf. det. n. 2.50 x 1.15 x 1.50 m</v>
          </cell>
          <cell r="C2249" t="str">
            <v>UN</v>
          </cell>
          <cell r="D2249">
            <v>1510.8584000000001</v>
          </cell>
        </row>
        <row r="2250">
          <cell r="A2250" t="str">
            <v>001.36.01960</v>
          </cell>
          <cell r="B2250" t="str">
            <v>Execução de fossa séptica conf. det. n. 2.80 x 1.40 x 1.50 m</v>
          </cell>
          <cell r="C2250" t="str">
            <v>UN</v>
          </cell>
          <cell r="D2250">
            <v>1736.2940000000001</v>
          </cell>
        </row>
        <row r="2251">
          <cell r="A2251" t="str">
            <v>001.36.01980</v>
          </cell>
          <cell r="B2251" t="str">
            <v>Execução de fossa séptica conf. det. n. 3.20 x 1.60 x 1.80 m</v>
          </cell>
          <cell r="C2251" t="str">
            <v>UN</v>
          </cell>
          <cell r="D2251">
            <v>2312.5273000000002</v>
          </cell>
        </row>
        <row r="2252">
          <cell r="A2252" t="str">
            <v>001.36.02000</v>
          </cell>
          <cell r="B2252" t="str">
            <v>Execução de fossa séptica conf. det. n. 3.50 x 1.75 x 1.80 m</v>
          </cell>
          <cell r="C2252" t="str">
            <v>UN</v>
          </cell>
          <cell r="D2252">
            <v>2631.7867000000001</v>
          </cell>
        </row>
        <row r="2253">
          <cell r="A2253" t="str">
            <v>001.36.02020</v>
          </cell>
          <cell r="B2253" t="str">
            <v>Execução de fossa séptica conf. det. n. 3.80 x 1.90 x 1.80 m</v>
          </cell>
          <cell r="C2253" t="str">
            <v>UN</v>
          </cell>
          <cell r="D2253">
            <v>2837.3157000000001</v>
          </cell>
        </row>
        <row r="2254">
          <cell r="A2254" t="str">
            <v>001.36.02040</v>
          </cell>
          <cell r="B2254" t="str">
            <v>Execução de fossa séptica conf. det. n. 4.00 x 2.00 x 1.80 m</v>
          </cell>
          <cell r="C2254" t="str">
            <v>UN</v>
          </cell>
          <cell r="D2254">
            <v>3064.5392000000002</v>
          </cell>
        </row>
        <row r="2255">
          <cell r="A2255" t="str">
            <v>001.36.02060</v>
          </cell>
          <cell r="B2255" t="str">
            <v>Execução de sumidouro conf. det. n. 12 dop diâmetro 1.50 m e profundidade 1.50 m</v>
          </cell>
          <cell r="C2255" t="str">
            <v>UN</v>
          </cell>
          <cell r="D2255">
            <v>562.08330000000001</v>
          </cell>
        </row>
        <row r="2256">
          <cell r="A2256" t="str">
            <v>001.36.02080</v>
          </cell>
          <cell r="B2256" t="str">
            <v>Execução de sumidouro conf. det. n. 12 dop diâmetro 1.50 e prof. 2.00 m</v>
          </cell>
          <cell r="C2256" t="str">
            <v>UN</v>
          </cell>
          <cell r="D2256">
            <v>644.72990000000004</v>
          </cell>
        </row>
        <row r="2257">
          <cell r="A2257" t="str">
            <v>001.36.02100</v>
          </cell>
          <cell r="B2257" t="str">
            <v>Execução de sumidouro conf. det. n. 12 dop diâmetro 1.50 e prof. 3.00 m</v>
          </cell>
          <cell r="C2257" t="str">
            <v>UN</v>
          </cell>
          <cell r="D2257">
            <v>824.00490000000002</v>
          </cell>
        </row>
        <row r="2258">
          <cell r="A2258" t="str">
            <v>001.36.02120</v>
          </cell>
          <cell r="B2258" t="str">
            <v>Execução de sumidouro conf. det. n. 12 dop diâmetro 2.00 m e prof. 2.00 m</v>
          </cell>
          <cell r="C2258" t="str">
            <v>UN</v>
          </cell>
          <cell r="D2258">
            <v>954.32929999999999</v>
          </cell>
        </row>
        <row r="2259">
          <cell r="A2259" t="str">
            <v>001.36.02140</v>
          </cell>
          <cell r="B2259" t="str">
            <v>Execução de sumidouro conf. det. n. 12 dop diâmetro 2.00 m e prof. 3.00m</v>
          </cell>
          <cell r="C2259" t="str">
            <v>UN</v>
          </cell>
          <cell r="D2259">
            <v>1203.1472000000001</v>
          </cell>
        </row>
        <row r="2260">
          <cell r="A2260" t="str">
            <v>001.36.02160</v>
          </cell>
          <cell r="B2260" t="str">
            <v>Execução de sumidouro conf. det. n. 12 dop diâmetro 2.00 e prof. 3.20 m</v>
          </cell>
          <cell r="C2260" t="str">
            <v>UN</v>
          </cell>
          <cell r="D2260">
            <v>1253.3332</v>
          </cell>
        </row>
        <row r="2261">
          <cell r="A2261" t="str">
            <v>001.36.02180</v>
          </cell>
          <cell r="B2261" t="str">
            <v>Execução de sumidouro conf. det. n. 12 dop diâmetro 2.00 m e prof. 4.15 m</v>
          </cell>
          <cell r="C2261" t="str">
            <v>UN</v>
          </cell>
          <cell r="D2261">
            <v>1490.0231000000001</v>
          </cell>
        </row>
        <row r="2262">
          <cell r="A2262" t="str">
            <v>001.36.02200</v>
          </cell>
          <cell r="B2262" t="str">
            <v>Execução de sumidouro conf. det. n. 12 dop diâmetro 2.00 m e prof. 4.50 m</v>
          </cell>
          <cell r="C2262" t="str">
            <v>UN</v>
          </cell>
          <cell r="D2262">
            <v>1577.4663</v>
          </cell>
        </row>
        <row r="2263">
          <cell r="A2263" t="str">
            <v>001.36.02220</v>
          </cell>
          <cell r="B2263" t="str">
            <v>Execução de sumidouro conf. det. n. 12 dop diâmetro 3.00 m e prof. 3.30 m</v>
          </cell>
          <cell r="C2263" t="str">
            <v>UN</v>
          </cell>
          <cell r="D2263">
            <v>2272.6619000000001</v>
          </cell>
        </row>
        <row r="2264">
          <cell r="A2264" t="str">
            <v>001.36.02240</v>
          </cell>
          <cell r="B2264" t="str">
            <v>Execução de filtro anaeróbico d = 2,20 m, conforme detalhe do dvop</v>
          </cell>
          <cell r="C2264" t="str">
            <v>UN</v>
          </cell>
          <cell r="D2264">
            <v>7704.1607999999997</v>
          </cell>
        </row>
        <row r="2265">
          <cell r="A2265" t="str">
            <v>001.37</v>
          </cell>
          <cell r="B2265" t="str">
            <v>INSTALAÇÕES HIDRÁULICAS - 'INSTALAÇÕES PREVENÇÃO E COMBATE A INCÊNDIO</v>
          </cell>
        </row>
        <row r="2266">
          <cell r="A2266" t="str">
            <v>001.37.00020</v>
          </cell>
          <cell r="B2266" t="str">
            <v>Fornecimento e Instalação de Extintor de Água Pressurizada 10 Lts, incl. suporte e sinalização.</v>
          </cell>
          <cell r="C2266" t="str">
            <v>UN</v>
          </cell>
          <cell r="D2266">
            <v>93.770099999999999</v>
          </cell>
        </row>
        <row r="2267">
          <cell r="A2267" t="str">
            <v>001.37.00040</v>
          </cell>
          <cell r="B2267" t="str">
            <v>Fornecimento e Instalação de Extintor de Gás Carbônico (CO2) 6 kg, incl. suporte e sinalização.</v>
          </cell>
          <cell r="C2267" t="str">
            <v>UN</v>
          </cell>
          <cell r="D2267">
            <v>388.40010000000001</v>
          </cell>
        </row>
        <row r="2268">
          <cell r="A2268" t="str">
            <v>001.37.00060</v>
          </cell>
          <cell r="B2268" t="str">
            <v>Fornecimento e Instalação de Extintor de Pó Químico 4 kg, incl. suporte e sinalização.</v>
          </cell>
          <cell r="C2268" t="str">
            <v>UN</v>
          </cell>
          <cell r="D2268">
            <v>91.820099999999996</v>
          </cell>
        </row>
        <row r="2269">
          <cell r="A2269" t="str">
            <v>001.37.00080</v>
          </cell>
          <cell r="B2269" t="str">
            <v>Fornecimento e Instalação de Tubo de Aço Galvanizado - classe média - Tipo Manesmann diâm. 63 mm</v>
          </cell>
          <cell r="C2269" t="str">
            <v>M</v>
          </cell>
          <cell r="D2269">
            <v>51.279600000000002</v>
          </cell>
        </row>
        <row r="2270">
          <cell r="A2270" t="str">
            <v>001.37.00100</v>
          </cell>
          <cell r="B2270" t="str">
            <v>Fornecimento e Instalação de Tubo de Aço Galvanizado - classe média - Tipo Manesmann diâm. 75 mm</v>
          </cell>
          <cell r="C2270" t="str">
            <v>M</v>
          </cell>
          <cell r="D2270">
            <v>62.240299999999998</v>
          </cell>
        </row>
        <row r="2271">
          <cell r="A2271" t="str">
            <v>001.37.00120</v>
          </cell>
          <cell r="B2271" t="str">
            <v>Fornecimento e Instalação de Luva Galvanizada c/ rosca - classe 10 - Tipo Tupy  diâm. 63 mm</v>
          </cell>
          <cell r="C2271" t="str">
            <v>UN</v>
          </cell>
          <cell r="D2271">
            <v>15.4269</v>
          </cell>
        </row>
        <row r="2272">
          <cell r="A2272" t="str">
            <v>001.37.00140</v>
          </cell>
          <cell r="B2272" t="str">
            <v>Fornecimento e Instalação de Luva Galvanizada c/ rosca - classe 10 - Tipo Tupy  diâm. 75 mm</v>
          </cell>
          <cell r="C2272" t="str">
            <v>UN</v>
          </cell>
          <cell r="D2272">
            <v>24.017700000000001</v>
          </cell>
        </row>
        <row r="2273">
          <cell r="A2273" t="str">
            <v>001.37.00160</v>
          </cell>
          <cell r="B2273" t="str">
            <v>Fornecimento e Instalação de Cotovelo Galvanizado c/ rosca - classe 10 - Tipo Tupy  diâm. 63 mm</v>
          </cell>
          <cell r="C2273" t="str">
            <v>UN</v>
          </cell>
          <cell r="D2273">
            <v>20.0977</v>
          </cell>
        </row>
        <row r="2274">
          <cell r="A2274" t="str">
            <v>001.37.00180</v>
          </cell>
          <cell r="B2274" t="str">
            <v>Fornecimento e Instalação de Cotovelo Galvanizado c/ rosca - classe 10 - Tipo Tupy  diâm. 75 mm</v>
          </cell>
          <cell r="C2274" t="str">
            <v>UN</v>
          </cell>
          <cell r="D2274">
            <v>31.986899999999999</v>
          </cell>
        </row>
        <row r="2275">
          <cell r="A2275" t="str">
            <v>001.37.00200</v>
          </cell>
          <cell r="B2275" t="str">
            <v>Fornecimento e Instalação de Te Galvanizado c/ rosca - classe 10 - Tipo Tupy  diâm. 63 mm</v>
          </cell>
          <cell r="C2275" t="str">
            <v>UN</v>
          </cell>
          <cell r="D2275">
            <v>30.220400000000001</v>
          </cell>
        </row>
        <row r="2276">
          <cell r="A2276" t="str">
            <v>001.37.00220</v>
          </cell>
          <cell r="B2276" t="str">
            <v>Fornecimento e Instalação de Flange Galvanizado Sextavado - classe 10 - Tipo Tupy  diâm. 75 mm</v>
          </cell>
          <cell r="C2276" t="str">
            <v>UN</v>
          </cell>
          <cell r="D2276">
            <v>39.456899999999997</v>
          </cell>
        </row>
        <row r="2277">
          <cell r="A2277" t="str">
            <v>001.37.00240</v>
          </cell>
          <cell r="B2277" t="str">
            <v>Fornecimento e Instalação de Niple Duplo Galvanizado  - classe 10 - Tipo Tupy  diâm. 63 mm</v>
          </cell>
          <cell r="C2277" t="str">
            <v>UN</v>
          </cell>
          <cell r="D2277">
            <v>14.2104</v>
          </cell>
        </row>
        <row r="2278">
          <cell r="A2278" t="str">
            <v>001.37.00260</v>
          </cell>
          <cell r="B2278" t="str">
            <v>Fornecimento e Instalação de Niple Duplo Galvanizado  - classe 10 - Tipo Tupy  diâm. 75 mm</v>
          </cell>
          <cell r="C2278" t="str">
            <v>UN</v>
          </cell>
          <cell r="D2278">
            <v>21.056899999999999</v>
          </cell>
        </row>
        <row r="2279">
          <cell r="A2279" t="str">
            <v>001.37.00280</v>
          </cell>
          <cell r="B2279" t="str">
            <v>Fornecimento e Instalação de Luva de União Assento em Bronze  - Tipo Tupy  diâm. 63 mm</v>
          </cell>
          <cell r="C2279" t="str">
            <v>UN</v>
          </cell>
          <cell r="D2279">
            <v>68.126900000000006</v>
          </cell>
        </row>
        <row r="2280">
          <cell r="A2280" t="str">
            <v>001.37.00300</v>
          </cell>
          <cell r="B2280" t="str">
            <v>Fornecimento e Instalação de Luva de União Assento em Bronze  - Tipo Tupy  diâm. 75 mm</v>
          </cell>
          <cell r="C2280" t="str">
            <v>UN</v>
          </cell>
          <cell r="D2280">
            <v>100.82689999999999</v>
          </cell>
        </row>
        <row r="2281">
          <cell r="A2281" t="str">
            <v>001.37.00320</v>
          </cell>
          <cell r="B2281" t="str">
            <v>Fornecimento e Instalação de Registro de Gaveta Industrial Bronze diâm.63 mm</v>
          </cell>
          <cell r="C2281" t="str">
            <v>UN</v>
          </cell>
          <cell r="D2281">
            <v>299.85770000000002</v>
          </cell>
        </row>
        <row r="2282">
          <cell r="A2282" t="str">
            <v>001.37.00340</v>
          </cell>
          <cell r="B2282" t="str">
            <v>Fornecimento e Instalação de Registro de Gaveta Industrial Bronze diâm.75 mm</v>
          </cell>
          <cell r="C2282" t="str">
            <v>UN</v>
          </cell>
          <cell r="D2282">
            <v>205.06290000000001</v>
          </cell>
        </row>
        <row r="2283">
          <cell r="A2283" t="str">
            <v>001.37.00360</v>
          </cell>
          <cell r="B2283" t="str">
            <v>Fornecimento e Instalação de Válvula de Retenção Horizontal 4 Com Portinhola 63 mm</v>
          </cell>
          <cell r="C2283" t="str">
            <v>UN</v>
          </cell>
          <cell r="D2283">
            <v>293.02460000000002</v>
          </cell>
        </row>
        <row r="2284">
          <cell r="A2284" t="str">
            <v>001.37.00380</v>
          </cell>
          <cell r="B2284" t="str">
            <v>Fornecimento e Instalação de Registro Angular P/ Incêndio 63 mm</v>
          </cell>
          <cell r="C2284" t="str">
            <v>UN</v>
          </cell>
          <cell r="D2284">
            <v>76.3095</v>
          </cell>
        </row>
        <row r="2285">
          <cell r="A2285" t="str">
            <v>001.37.00400</v>
          </cell>
          <cell r="B2285" t="str">
            <v>Fornecimento e Instalação de Engate Rápido """"""""storz"""""""" c/ red. ferro galvanizado diâm. 63 mm x 35 mm</v>
          </cell>
          <cell r="C2285" t="str">
            <v>UN</v>
          </cell>
          <cell r="D2285">
            <v>34.570399999999999</v>
          </cell>
        </row>
        <row r="2286">
          <cell r="A2286" t="str">
            <v>001.37.00420</v>
          </cell>
          <cell r="B2286" t="str">
            <v>Fornecimento e Instalaçao de Hidrante de Recalque Composto de Caixa da Alvenaria, Registro globo angular 45º - 2 1/2"""""""" e Tampa de fºfº 40 x 60 cm</v>
          </cell>
          <cell r="C2286" t="str">
            <v>UN</v>
          </cell>
          <cell r="D2286">
            <v>297.37799999999999</v>
          </cell>
        </row>
        <row r="2287">
          <cell r="A2287" t="str">
            <v>001.37.00440</v>
          </cell>
          <cell r="B2287" t="str">
            <v>Fornecimento e Instalação de Hidrante de Recalque Composto de Caixa de Alvenaria, Registro Globo Angular 45º - 1 1/2"""""""" e tampa de fºfº 80x60 cm</v>
          </cell>
          <cell r="C2287" t="str">
            <v>UN</v>
          </cell>
          <cell r="D2287">
            <v>379.5772</v>
          </cell>
        </row>
        <row r="2288">
          <cell r="A2288" t="str">
            <v>001.37.00460</v>
          </cell>
          <cell r="B2288" t="str">
            <v>Fornecimento e Instalação de Mangueira Fibra Sintética Pura Tipo I Graud - Tipo Parsh com Adaptador e Esguicho diâm. 1 1/2 pol</v>
          </cell>
          <cell r="C2288" t="str">
            <v>UN</v>
          </cell>
          <cell r="D2288">
            <v>220.42429999999999</v>
          </cell>
        </row>
        <row r="2289">
          <cell r="A2289" t="str">
            <v>001.37.00480</v>
          </cell>
          <cell r="B2289" t="str">
            <v>Fornecimento e Instalação de Armário em Chapa de Aço-Com Ventilação Adequada - Visor c/ Inspeção c/ Inscrição Incêndio, Cesto Interno p/ Abrigo da Mangueira e Esguicho tipo """"""""bucha spiero"""""""" ou similar 75x45x17 cm</v>
          </cell>
          <cell r="C2289" t="str">
            <v>UN</v>
          </cell>
          <cell r="D2289">
            <v>143.2268</v>
          </cell>
        </row>
        <row r="2290">
          <cell r="A2290" t="str">
            <v>001.37.00500</v>
          </cell>
          <cell r="B2290" t="str">
            <v>Fornecimento e Instalação de Armário em Chapa de Aço-Com Ventilação Adequada - Visor c/ Inspeção c/ Inscrição Incêndio, Cesto Interno p/ Abrigo da Mangueira e Esguicho tipo """"""""bucha spiero"""""""" ou similar 90x60x17 cm</v>
          </cell>
          <cell r="C2290" t="str">
            <v>UN</v>
          </cell>
          <cell r="D2290">
            <v>188.0968</v>
          </cell>
        </row>
        <row r="2291">
          <cell r="A2291" t="str">
            <v>001.38</v>
          </cell>
          <cell r="B2291" t="str">
            <v>INSTALAÇÕES HIDRÁULICA -  DRENAGEM</v>
          </cell>
        </row>
        <row r="2292">
          <cell r="A2292" t="str">
            <v>001.38.00020</v>
          </cell>
          <cell r="B2292" t="str">
            <v>Fornecimento, assentamento e rejuntamento de tubos de concreto com armação simples 1000 mm</v>
          </cell>
          <cell r="C2292" t="str">
            <v>ML</v>
          </cell>
          <cell r="D2292">
            <v>153.0557</v>
          </cell>
        </row>
        <row r="2293">
          <cell r="A2293" t="str">
            <v>001.38.00040</v>
          </cell>
          <cell r="B2293" t="str">
            <v>Fornecimento, assentamento e rejuntamento de tubos de concreto com armação simples  800 mm</v>
          </cell>
          <cell r="C2293" t="str">
            <v>ML</v>
          </cell>
          <cell r="D2293">
            <v>111.7846</v>
          </cell>
        </row>
        <row r="2294">
          <cell r="A2294" t="str">
            <v>001.38.00060</v>
          </cell>
          <cell r="B2294" t="str">
            <v>Fornecimento, assentamento e rejuntamento de tubos de concreto com armação simples  600 mm</v>
          </cell>
          <cell r="C2294" t="str">
            <v>ML</v>
          </cell>
          <cell r="D2294">
            <v>84.930099999999996</v>
          </cell>
        </row>
        <row r="2295">
          <cell r="A2295" t="str">
            <v>001.38.00080</v>
          </cell>
          <cell r="B2295" t="str">
            <v>Fornecimento, assentamento e rejuntamento de tubos de concreto com armação simples  400 mm</v>
          </cell>
          <cell r="C2295" t="str">
            <v>ML</v>
          </cell>
          <cell r="D2295">
            <v>44.812199999999997</v>
          </cell>
        </row>
        <row r="2296">
          <cell r="A2296" t="str">
            <v>001.38.00100</v>
          </cell>
          <cell r="B2296" t="str">
            <v>Fornecimento, assentamento e rejuntamento de tubos de concreto com armação dupla 1000 mm</v>
          </cell>
          <cell r="C2296" t="str">
            <v>ML</v>
          </cell>
          <cell r="D2296">
            <v>188.0557</v>
          </cell>
        </row>
        <row r="2297">
          <cell r="A2297" t="str">
            <v>001.38.00120</v>
          </cell>
          <cell r="B2297" t="str">
            <v>Fornecimento, assentamento e rejuntamento de tubos de concreto com armação dupla  800 mm</v>
          </cell>
          <cell r="C2297" t="str">
            <v>ML</v>
          </cell>
          <cell r="D2297">
            <v>135.78460000000001</v>
          </cell>
        </row>
        <row r="2298">
          <cell r="A2298" t="str">
            <v>001.38.00140</v>
          </cell>
          <cell r="B2298" t="str">
            <v>Fornecimento, assentamento e rejuntamento de tubos de concreto sem armação  600 mm</v>
          </cell>
          <cell r="C2298" t="str">
            <v>ML</v>
          </cell>
          <cell r="D2298">
            <v>66.163899999999998</v>
          </cell>
        </row>
        <row r="2299">
          <cell r="A2299" t="str">
            <v>001.38.00160</v>
          </cell>
          <cell r="B2299" t="str">
            <v>Fornecimento, assentamento e rejuntamento de tubos de concreto sem armação  500 mm</v>
          </cell>
          <cell r="C2299" t="str">
            <v>ML</v>
          </cell>
          <cell r="D2299">
            <v>48.966700000000003</v>
          </cell>
        </row>
        <row r="2300">
          <cell r="A2300" t="str">
            <v>001.38.00180</v>
          </cell>
          <cell r="B2300" t="str">
            <v>Fornecimento, assentamento e rejuntamento de tubos de concreto sem armação  400 mm</v>
          </cell>
          <cell r="C2300" t="str">
            <v>ML</v>
          </cell>
          <cell r="D2300">
            <v>34.812199999999997</v>
          </cell>
        </row>
        <row r="2301">
          <cell r="A2301" t="str">
            <v>001.38.00200</v>
          </cell>
          <cell r="B2301" t="str">
            <v>Fornecimento, assentamento e rejuntamento de tubos de concreto sem armação  350 mm</v>
          </cell>
          <cell r="C2301" t="str">
            <v>ML</v>
          </cell>
          <cell r="D2301">
            <v>26.312200000000001</v>
          </cell>
        </row>
        <row r="2302">
          <cell r="A2302" t="str">
            <v>001.38.00220</v>
          </cell>
          <cell r="B2302" t="str">
            <v>Fornecimento, assentamento e rejuntamento de tubos de concreto sem armação  300 mm</v>
          </cell>
          <cell r="C2302" t="str">
            <v>ML</v>
          </cell>
          <cell r="D2302">
            <v>21.926100000000002</v>
          </cell>
        </row>
        <row r="2303">
          <cell r="A2303" t="str">
            <v>001.38.00240</v>
          </cell>
          <cell r="B2303" t="str">
            <v>Fornecimento, assentamento e rejuntamento de tubos de concreto sem armação  250 mm</v>
          </cell>
          <cell r="C2303" t="str">
            <v>ML</v>
          </cell>
          <cell r="D2303">
            <v>20.926100000000002</v>
          </cell>
        </row>
        <row r="2304">
          <cell r="A2304" t="str">
            <v>001.38.00260</v>
          </cell>
          <cell r="B2304" t="str">
            <v>Fornecimento, assentamento e rejuntamento de tubos de concreto sem armação  200 mm</v>
          </cell>
          <cell r="C2304" t="str">
            <v>ML</v>
          </cell>
          <cell r="D2304">
            <v>16.706299999999999</v>
          </cell>
        </row>
        <row r="2305">
          <cell r="A2305" t="str">
            <v>001.38.00280</v>
          </cell>
          <cell r="B2305" t="str">
            <v>Fornecimento, assentamento e rejuntamento de tubos de concreto sem armação  150 mm</v>
          </cell>
          <cell r="C2305" t="str">
            <v>ML</v>
          </cell>
          <cell r="D2305">
            <v>14.706300000000001</v>
          </cell>
        </row>
        <row r="2306">
          <cell r="A2306" t="str">
            <v>001.38.00300</v>
          </cell>
          <cell r="B2306" t="str">
            <v>Fornecimento, assentamento e rejuntamento de tubos de concreto sem armação  100 mm</v>
          </cell>
          <cell r="C2306" t="str">
            <v>ML</v>
          </cell>
          <cell r="D2306">
            <v>11.6576</v>
          </cell>
        </row>
        <row r="2307">
          <cell r="A2307" t="str">
            <v>001.38.00320</v>
          </cell>
          <cell r="B2307" t="str">
            <v>Fornecimento, assentamento e rejuntamento de tubo de concreto poroso mf 400 mm</v>
          </cell>
          <cell r="C2307" t="str">
            <v>ML</v>
          </cell>
          <cell r="D2307">
            <v>38.312199999999997</v>
          </cell>
        </row>
        <row r="2308">
          <cell r="A2308" t="str">
            <v>001.38.00340</v>
          </cell>
          <cell r="B2308" t="str">
            <v>Fornecimento, assentamento e rejuntamento de tubo de concreto poroso mf 350 mm</v>
          </cell>
          <cell r="C2308" t="str">
            <v>ML</v>
          </cell>
          <cell r="D2308">
            <v>28.312200000000001</v>
          </cell>
        </row>
        <row r="2309">
          <cell r="A2309" t="str">
            <v>001.38.00360</v>
          </cell>
          <cell r="B2309" t="str">
            <v>Fornecimento, assentamento e rejuntamento de tubo de concreto poroso mf 300 mm</v>
          </cell>
          <cell r="C2309" t="str">
            <v>ML</v>
          </cell>
          <cell r="D2309">
            <v>19.180900000000001</v>
          </cell>
        </row>
        <row r="2310">
          <cell r="A2310" t="str">
            <v>001.38.00380</v>
          </cell>
          <cell r="B2310" t="str">
            <v>Fornecimento, assentamento e rejuntamento de tubo de concreto poroso mf 250 mm</v>
          </cell>
          <cell r="C2310" t="str">
            <v>ML</v>
          </cell>
          <cell r="D2310">
            <v>22.426100000000002</v>
          </cell>
        </row>
        <row r="2311">
          <cell r="A2311" t="str">
            <v>001.38.00400</v>
          </cell>
          <cell r="B2311" t="str">
            <v>Fornecimento, assentamento e rejuntamento de tubo de concreto poroso mf 200 mm</v>
          </cell>
          <cell r="C2311" t="str">
            <v>ML</v>
          </cell>
          <cell r="D2311">
            <v>16.906300000000002</v>
          </cell>
        </row>
        <row r="2312">
          <cell r="A2312" t="str">
            <v>001.38.00420</v>
          </cell>
          <cell r="B2312" t="str">
            <v>Fornecimento, assentamento e rejuntamento de tubo de concreto poroso mf 150 mm</v>
          </cell>
          <cell r="C2312" t="str">
            <v>ML</v>
          </cell>
          <cell r="D2312">
            <v>16.906300000000002</v>
          </cell>
        </row>
        <row r="2313">
          <cell r="A2313" t="str">
            <v>001.38.00440</v>
          </cell>
          <cell r="B2313" t="str">
            <v>Fornecimento, assentamento e rejuntamento de tubo de concreto poroso mf 100 mm</v>
          </cell>
          <cell r="C2313" t="str">
            <v>ML</v>
          </cell>
          <cell r="D2313">
            <v>20.457599999999999</v>
          </cell>
        </row>
        <row r="2314">
          <cell r="A2314" t="str">
            <v>001.38.00460</v>
          </cell>
          <cell r="B2314" t="str">
            <v>Execução de poço de visita conf. det. do dop n.4 120x120x50 cm</v>
          </cell>
          <cell r="C2314" t="str">
            <v>UN</v>
          </cell>
          <cell r="D2314">
            <v>715.09040000000005</v>
          </cell>
        </row>
        <row r="2315">
          <cell r="A2315" t="str">
            <v>001.38.00480</v>
          </cell>
          <cell r="B2315" t="str">
            <v>Execução de poço de visita conf. det. do dop n.4 120x120x70 cm</v>
          </cell>
          <cell r="C2315" t="str">
            <v>UN</v>
          </cell>
          <cell r="D2315">
            <v>804.0521</v>
          </cell>
        </row>
        <row r="2316">
          <cell r="A2316" t="str">
            <v>001.38.00500</v>
          </cell>
          <cell r="B2316" t="str">
            <v>Execução de poço de visita conf. det. do dop n.4 120x120x105 cm</v>
          </cell>
          <cell r="C2316" t="str">
            <v>UN</v>
          </cell>
          <cell r="D2316">
            <v>965.39700000000005</v>
          </cell>
        </row>
        <row r="2317">
          <cell r="A2317" t="str">
            <v>001.38.00520</v>
          </cell>
          <cell r="B2317" t="str">
            <v>Execução de poço de visita conf. det. do dop n.4 120x120x120 cm</v>
          </cell>
          <cell r="C2317" t="str">
            <v>UN</v>
          </cell>
          <cell r="D2317">
            <v>1020.6141</v>
          </cell>
        </row>
        <row r="2318">
          <cell r="A2318" t="str">
            <v>001.38.00540</v>
          </cell>
          <cell r="B2318" t="str">
            <v>Execução de poço de visita conf. det. do dop n.4 120x120x140 cm</v>
          </cell>
          <cell r="C2318" t="str">
            <v>UN</v>
          </cell>
          <cell r="D2318">
            <v>1469.8430000000001</v>
          </cell>
        </row>
        <row r="2319">
          <cell r="A2319" t="str">
            <v>001.38.00560</v>
          </cell>
          <cell r="B2319" t="str">
            <v>Execução de poço de visita conf. det. do dop n.4 120x120x190 cm</v>
          </cell>
          <cell r="C2319" t="str">
            <v>UN</v>
          </cell>
          <cell r="D2319">
            <v>1384.06</v>
          </cell>
        </row>
        <row r="2320">
          <cell r="A2320" t="str">
            <v>001.38.00580</v>
          </cell>
          <cell r="B2320" t="str">
            <v>Execução de caixa de passagem conf. det. n7 do dop 30 x 30 x 30 cm</v>
          </cell>
          <cell r="C2320" t="str">
            <v>UN</v>
          </cell>
          <cell r="D2320">
            <v>38.663499999999999</v>
          </cell>
        </row>
        <row r="2321">
          <cell r="A2321" t="str">
            <v>001.38.00600</v>
          </cell>
          <cell r="B2321" t="str">
            <v>Execução de caixa de passagem conf. det. n7 do dop 40 x 40 x 40 cm</v>
          </cell>
          <cell r="C2321" t="str">
            <v>UN</v>
          </cell>
          <cell r="D2321">
            <v>58.388500000000001</v>
          </cell>
        </row>
        <row r="2322">
          <cell r="A2322" t="str">
            <v>001.38.00620</v>
          </cell>
          <cell r="B2322" t="str">
            <v>Execução de caixa de passagem conf. det. n7 do dop 50 x 50 x 50 cm</v>
          </cell>
          <cell r="C2322" t="str">
            <v>UN</v>
          </cell>
          <cell r="D2322">
            <v>83.884299999999996</v>
          </cell>
        </row>
        <row r="2323">
          <cell r="A2323" t="str">
            <v>001.38.00640</v>
          </cell>
          <cell r="B2323" t="str">
            <v>Execução de caixa de passagem conf. det. n7 do dop 60 x 60 x 60 cm</v>
          </cell>
          <cell r="C2323" t="str">
            <v>UN</v>
          </cell>
          <cell r="D2323">
            <v>111.6461</v>
          </cell>
        </row>
        <row r="2324">
          <cell r="A2324" t="str">
            <v>001.38.00660</v>
          </cell>
          <cell r="B2324" t="str">
            <v>Execução de caixa de passagem conf. det. n7 do dop 70 x 70 x 70 cm</v>
          </cell>
          <cell r="C2324" t="str">
            <v>UN</v>
          </cell>
          <cell r="D2324">
            <v>114.449</v>
          </cell>
        </row>
        <row r="2325">
          <cell r="A2325" t="str">
            <v>001.38.00680</v>
          </cell>
          <cell r="B2325" t="str">
            <v>Execução de caixa de passagem conf. det. n7 do dop 80 x 80 x 80 cm</v>
          </cell>
          <cell r="C2325" t="str">
            <v>UN</v>
          </cell>
          <cell r="D2325">
            <v>145.4623</v>
          </cell>
        </row>
        <row r="2326">
          <cell r="A2326" t="str">
            <v>001.38.00700</v>
          </cell>
          <cell r="B2326" t="str">
            <v>Execução de caixa de passagem conf. det. n7 do dop 90 x 90 x 90 cm</v>
          </cell>
          <cell r="C2326" t="str">
            <v>UN</v>
          </cell>
          <cell r="D2326">
            <v>241.50059999999999</v>
          </cell>
        </row>
        <row r="2327">
          <cell r="A2327" t="str">
            <v>001.38.00720</v>
          </cell>
          <cell r="B2327" t="str">
            <v>Execução de caixa de passagem conf. det. n7 do dop 100 x 100 x 100 cm</v>
          </cell>
          <cell r="C2327" t="str">
            <v>UN</v>
          </cell>
          <cell r="D2327">
            <v>242.2895</v>
          </cell>
        </row>
        <row r="2328">
          <cell r="A2328" t="str">
            <v>001.38.00740</v>
          </cell>
          <cell r="B2328" t="str">
            <v>Execução de caixa de passagem conf. det. n7 do dop 100 x 100 x 120 cm</v>
          </cell>
          <cell r="C2328" t="str">
            <v>UND</v>
          </cell>
          <cell r="D2328">
            <v>329.363</v>
          </cell>
        </row>
        <row r="2329">
          <cell r="A2329" t="str">
            <v>001.38.00760</v>
          </cell>
          <cell r="B2329" t="str">
            <v>Execução de caixa de passagem conf. det. n7 do dop 110 x 0.60 x 0.60 cm</v>
          </cell>
          <cell r="C2329" t="str">
            <v>UN</v>
          </cell>
          <cell r="D2329">
            <v>10.512600000000001</v>
          </cell>
        </row>
        <row r="2330">
          <cell r="A2330" t="str">
            <v>001.38.00780</v>
          </cell>
          <cell r="B2330" t="str">
            <v>Execução de caixa de areia dimensões 50 x 50 x 50 cm</v>
          </cell>
          <cell r="C2330" t="str">
            <v>UN</v>
          </cell>
          <cell r="D2330">
            <v>83.884299999999996</v>
          </cell>
        </row>
        <row r="2331">
          <cell r="A2331" t="str">
            <v>001.38.00800</v>
          </cell>
          <cell r="B2331" t="str">
            <v>Execução de canaleta para talude em concreto simples traço 1:4:8 com 8 cm espessura conf. det. n.32 e 33</v>
          </cell>
          <cell r="C2331" t="str">
            <v>ML</v>
          </cell>
          <cell r="D2331">
            <v>27.216799999999999</v>
          </cell>
        </row>
        <row r="2332">
          <cell r="A2332" t="str">
            <v>001.38.00820</v>
          </cell>
          <cell r="B2332" t="str">
            <v>Execução de canaleta de tijolo maciço 1/2 vez l=0,30 m inclusive grelha de ferro</v>
          </cell>
          <cell r="C2332" t="str">
            <v>ML</v>
          </cell>
          <cell r="D2332">
            <v>74.859399999999994</v>
          </cell>
        </row>
        <row r="2333">
          <cell r="A2333" t="str">
            <v>001.38.00840</v>
          </cell>
          <cell r="B2333" t="str">
            <v>Fornecimento e instalação de aspersor ou irrigador para jardim de metal - diamentro 3/4""""""""</v>
          </cell>
          <cell r="C2333" t="str">
            <v>UN</v>
          </cell>
          <cell r="D2333">
            <v>15</v>
          </cell>
        </row>
        <row r="2334">
          <cell r="A2334" t="str">
            <v>001.39</v>
          </cell>
          <cell r="B2334" t="str">
            <v>LIMPEZA</v>
          </cell>
        </row>
        <row r="2335">
          <cell r="A2335" t="str">
            <v>001.39.00020</v>
          </cell>
          <cell r="B2335" t="str">
            <v>Limpeza geral da obra</v>
          </cell>
          <cell r="C2335" t="str">
            <v>M2</v>
          </cell>
          <cell r="D2335">
            <v>1.9156</v>
          </cell>
        </row>
        <row r="2336">
          <cell r="A2336" t="str">
            <v>001.39.00060</v>
          </cell>
          <cell r="B2336" t="str">
            <v>Execução de Retirada de entulho em Caçamba inclusive Carga Manual distância até 30 mts</v>
          </cell>
          <cell r="C2336" t="str">
            <v>M3</v>
          </cell>
          <cell r="D2336">
            <v>16.448899999999998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MED"/>
      <sheetName val="Relatório-1ª med."/>
      <sheetName val="DRENA"/>
      <sheetName val="ESCAVOCAR"/>
      <sheetName val="TRANSPTERR"/>
      <sheetName val="REG SUBLEITO"/>
      <sheetName val="SUBBASE"/>
      <sheetName val="BASE"/>
      <sheetName val="TRANSPBASE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latório_1ª med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  <sheetName val="Sub_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U36">
            <v>228419.09999999998</v>
          </cell>
        </row>
      </sheetData>
      <sheetData sheetId="13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qui"/>
      <sheetName val="Pato"/>
      <sheetName val="CALCULOS AUXILIARES"/>
      <sheetName val="Q Custo"/>
      <sheetName val="Cronog"/>
      <sheetName val="Transp"/>
      <sheetName val="Memorial"/>
      <sheetName val="Memorial II"/>
      <sheetName val="SERV MAT BET"/>
      <sheetName val="TRANSP FRIO E QUENTE"/>
      <sheetName val="Comp P Unit "/>
      <sheetName val="C MÃO OBRA"/>
      <sheetName val="CUSTO MATERIAL"/>
      <sheetName val="CUSTO EQUIP"/>
      <sheetName val="MOBIL_INST_CANT"/>
      <sheetName val="COMP TRANSP EQUIP"/>
      <sheetName val="Plan1"/>
    </sheetNames>
    <sheetDataSet>
      <sheetData sheetId="0">
        <row r="3">
          <cell r="B3" t="str">
            <v>: BR-364/MT</v>
          </cell>
        </row>
        <row r="4">
          <cell r="I4" t="str">
            <v>SR/DNIT/MT</v>
          </cell>
        </row>
        <row r="5">
          <cell r="B5" t="str">
            <v>: DIV. GO/MT - DIV. MT/RO</v>
          </cell>
        </row>
        <row r="6">
          <cell r="B6" t="str">
            <v>: ENTR. MT-461(A) (Km 112,90) - ENTR. MT-270(B) (Km 215,90)</v>
          </cell>
          <cell r="I6" t="str">
            <v>Lote 02</v>
          </cell>
        </row>
        <row r="7">
          <cell r="A7" t="str">
            <v>EXTENSÃO</v>
          </cell>
          <cell r="B7" t="str">
            <v>: 103,00 Km</v>
          </cell>
        </row>
      </sheetData>
      <sheetData sheetId="1">
        <row r="1">
          <cell r="A1" t="str">
            <v>MT - DNIT - Superintendencia Regional no Estado do Mato Grosso</v>
          </cell>
        </row>
      </sheetData>
      <sheetData sheetId="2">
        <row r="12">
          <cell r="E12">
            <v>2916.8777473920004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"/>
      <sheetName val="Pato "/>
      <sheetName val="Memorial "/>
      <sheetName val="Q Custo"/>
      <sheetName val="Transp"/>
      <sheetName val="Cronog"/>
      <sheetName val="reg_mec_fx_dm_"/>
      <sheetName val="rec_cam_pav_"/>
      <sheetName val="solo_cimento"/>
      <sheetName val="imprimação"/>
      <sheetName val="aquis_ CM_30 impri"/>
      <sheetName val="tr_CM_30 impr"/>
      <sheetName val="pint_lig"/>
      <sheetName val="aquis_ RR_1C pl"/>
      <sheetName val="tr_RR_1C pl"/>
      <sheetName val="capa selan_pedrisco"/>
      <sheetName val="aquis_RR_2C"/>
      <sheetName val="tr_RR_2C"/>
      <sheetName val="rec_rev_frio"/>
      <sheetName val="mbuf"/>
      <sheetName val="aquis_RM_1C"/>
      <sheetName val="tr_RM_1C"/>
      <sheetName val="rec_rev_quente"/>
      <sheetName val="mbuq"/>
      <sheetName val="aquis_CAP_20"/>
      <sheetName val="tr_CAP_20"/>
      <sheetName val="rem_man_rev_bet_"/>
      <sheetName val="rem_mec_cam_gran_pav_"/>
      <sheetName val="rem_man_cam_gran_pav_"/>
      <sheetName val="con_ciclp_"/>
      <sheetName val="con_cim_"/>
      <sheetName val="arg_cim_areia"/>
      <sheetName val="drobragem"/>
      <sheetName val="forma"/>
      <sheetName val="ret_com_bueiro"/>
      <sheetName val="reat_apil_"/>
      <sheetName val="limp_ponte"/>
      <sheetName val="esc_man_1ªcat"/>
      <sheetName val="esc_mec_vala_mat_1ªcat"/>
      <sheetName val="enroc_pd_arrum_"/>
      <sheetName val="enroc_pd_jogada"/>
      <sheetName val="tapa buraco"/>
      <sheetName val="aquis_CM_30 tp"/>
      <sheetName val="tr_CM_30 tp"/>
      <sheetName val="rem_pro_dem_mn_"/>
      <sheetName val="aquis_ CM_30 rmendo"/>
      <sheetName val="tr_CM_30 remendo"/>
      <sheetName val="selagem trinca"/>
      <sheetName val="aquis_RR_1C selagem"/>
      <sheetName val="tr_RR_1C selagem"/>
      <sheetName val="correção"/>
      <sheetName val="aquis_ RR_1C pl (2)"/>
      <sheetName val="tr_RR_1C pl (2)"/>
      <sheetName val="fresagem"/>
      <sheetName val="rec_guad_corpo"/>
      <sheetName val="limp_sarj_meio_fio"/>
      <sheetName val="limp_vala_dren_"/>
      <sheetName val="limp_desc_d_água"/>
      <sheetName val="limp_bueiro"/>
      <sheetName val="assent_ D_1_00m"/>
      <sheetName val="limp_pc_sinal_"/>
      <sheetName val="rec_pc_sinal_"/>
      <sheetName val="rec_def_met_"/>
      <sheetName val="caiação"/>
      <sheetName val="renov_sin_horiz_"/>
      <sheetName val="rec_manual aterro"/>
      <sheetName val="rma"/>
      <sheetName val="rem_manual barr_solo"/>
      <sheetName val="rem_manual barr_rocha"/>
      <sheetName val="roç_man_"/>
      <sheetName val="roç_cap_col_"/>
      <sheetName val="roç_mec_"/>
      <sheetName val="capina man_"/>
      <sheetName val="tr_lc_basc_5m3"/>
      <sheetName val="tr_remendo"/>
      <sheetName val="tr_lc_carroc_4t"/>
      <sheetName val="tr_com_carroc_"/>
      <sheetName val="tr_com_basc_10m³"/>
      <sheetName val="tr_loc_mat_bet"/>
      <sheetName val="micro"/>
      <sheetName val="aquis_pilim_"/>
      <sheetName val="tr_polim_"/>
      <sheetName val="veic_"/>
      <sheetName val="mobilização"/>
      <sheetName val="prancha"/>
      <sheetName val="instalação"/>
      <sheetName val="cerca"/>
      <sheetName val="trans_frio"/>
      <sheetName val="trans_qu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"/>
      <sheetName val="Pato "/>
      <sheetName val="Memorial "/>
      <sheetName val="Q Custo"/>
      <sheetName val="Transp"/>
      <sheetName val="Cronog"/>
      <sheetName val="reg_mec_fx_dm_"/>
      <sheetName val="rec_cam_pav_"/>
      <sheetName val="solo_cimento"/>
      <sheetName val="imprimação"/>
      <sheetName val="aquis_ CM_30 impri"/>
      <sheetName val="tr_CM_30 impr"/>
      <sheetName val="pint_lig"/>
      <sheetName val="aquis_ RR_1C pl"/>
      <sheetName val="tr_RR_1C pl"/>
      <sheetName val="capa selan_pedrisco"/>
      <sheetName val="aquis_RR_2C"/>
      <sheetName val="tr_RR_2C"/>
      <sheetName val="rec_rev_frio"/>
      <sheetName val="mbuf"/>
      <sheetName val="aquis_RM_1C"/>
      <sheetName val="tr_RM_1C"/>
      <sheetName val="rec_rev_quente"/>
      <sheetName val="mbuq"/>
      <sheetName val="aquis_CAP_20"/>
      <sheetName val="tr_CAP_20"/>
      <sheetName val="rem_man_rev_bet_"/>
      <sheetName val="rem_mec_cam_gran_pav_"/>
      <sheetName val="rem_man_cam_gran_pav_"/>
      <sheetName val="con_ciclp_"/>
      <sheetName val="con_cim_"/>
      <sheetName val="arg_cim_areia"/>
      <sheetName val="drobragem"/>
      <sheetName val="forma"/>
      <sheetName val="ret_com_bueiro"/>
      <sheetName val="reat_apil_"/>
      <sheetName val="limp_ponte"/>
      <sheetName val="esc_man_1ªcat"/>
      <sheetName val="esc_mec_vala_mat_1ªcat"/>
      <sheetName val="enroc_pd_arrum_"/>
      <sheetName val="enroc_pd_jogada"/>
      <sheetName val="tapa buraco"/>
      <sheetName val="aquis_CM_30 tp"/>
      <sheetName val="tr_CM_30 tp"/>
      <sheetName val="rem_pro_dem_mn_"/>
      <sheetName val="aquis_ CM_30 rmendo"/>
      <sheetName val="tr_CM_30 remendo"/>
      <sheetName val="selagem trinca"/>
      <sheetName val="aquis_RR_1C selagem"/>
      <sheetName val="tr_RR_1C selagem"/>
      <sheetName val="correção"/>
      <sheetName val="aquis_ RR_1C pl (2)"/>
      <sheetName val="tr_RR_1C pl (2)"/>
      <sheetName val="fresagem"/>
      <sheetName val="rec_guad_corpo"/>
      <sheetName val="limp_sarj_meio_fio"/>
      <sheetName val="limp_vala_dren_"/>
      <sheetName val="limp_desc_d_água"/>
      <sheetName val="limp_bueiro"/>
      <sheetName val="assent_ D_1_00m"/>
      <sheetName val="limp_pc_sinal_"/>
      <sheetName val="rec_pc_sinal_"/>
      <sheetName val="rec_def_met_"/>
      <sheetName val="caiação"/>
      <sheetName val="renov_sin_horiz_"/>
      <sheetName val="rec_manual aterro"/>
      <sheetName val="rma"/>
      <sheetName val="rem_manual barr_solo"/>
      <sheetName val="rem_manual barr_rocha"/>
      <sheetName val="roç_man_"/>
      <sheetName val="roç_cap_col_"/>
      <sheetName val="roç_mec_"/>
      <sheetName val="capina man_"/>
      <sheetName val="tr_lc_basc_5m3"/>
      <sheetName val="tr_remendo"/>
      <sheetName val="tr_lc_carroc_4t"/>
      <sheetName val="tr_com_carroc_"/>
      <sheetName val="tr_com_basc_10m³"/>
      <sheetName val="tr_loc_mat_bet"/>
      <sheetName val="micro"/>
      <sheetName val="aquis_pilim_"/>
      <sheetName val="tr_polim_"/>
      <sheetName val="veic_"/>
      <sheetName val="mobilização"/>
      <sheetName val="prancha"/>
      <sheetName val="instalação"/>
      <sheetName val="cerca"/>
      <sheetName val="trans_frio"/>
      <sheetName val="trans_qu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"/>
      <sheetName val="res"/>
      <sheetName val="orç"/>
      <sheetName val="Cronograma"/>
      <sheetName val="memorial"/>
      <sheetName val="materiais drenagem"/>
      <sheetName val="trasnp"/>
      <sheetName val="QR DMT indiv"/>
    </sheetNames>
    <sheetDataSet>
      <sheetData sheetId="0"/>
      <sheetData sheetId="1">
        <row r="6">
          <cell r="B6" t="str">
            <v>Serviços preliminares</v>
          </cell>
        </row>
      </sheetData>
      <sheetData sheetId="2">
        <row r="6">
          <cell r="B6" t="str">
            <v>Serviços preliminares</v>
          </cell>
        </row>
      </sheetData>
      <sheetData sheetId="3"/>
      <sheetData sheetId="4"/>
      <sheetData sheetId="5">
        <row r="14">
          <cell r="C14">
            <v>36.799999999999997</v>
          </cell>
        </row>
      </sheetData>
      <sheetData sheetId="6">
        <row r="9">
          <cell r="I9">
            <v>5.1630000000000003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33"/>
  <sheetViews>
    <sheetView showGridLines="0" view="pageBreakPreview" zoomScaleSheetLayoutView="100" workbookViewId="0">
      <selection activeCell="C26" sqref="C26"/>
    </sheetView>
  </sheetViews>
  <sheetFormatPr defaultColWidth="9.109375" defaultRowHeight="13.8"/>
  <cols>
    <col min="1" max="1" width="11.88671875" style="1" customWidth="1"/>
    <col min="2" max="2" width="54.6640625" style="1" customWidth="1"/>
    <col min="3" max="3" width="19" style="1" customWidth="1"/>
    <col min="4" max="4" width="24.88671875" style="1" customWidth="1"/>
    <col min="5" max="5" width="9.109375" style="1"/>
    <col min="6" max="6" width="12.33203125" style="1" bestFit="1" customWidth="1"/>
    <col min="7" max="16384" width="9.109375" style="1"/>
  </cols>
  <sheetData>
    <row r="1" spans="1:4" ht="39.9" customHeight="1">
      <c r="A1" s="153" t="s">
        <v>1034</v>
      </c>
      <c r="B1" s="154" t="s">
        <v>2326</v>
      </c>
      <c r="C1" s="1083" t="s">
        <v>2327</v>
      </c>
      <c r="D1" s="1084"/>
    </row>
    <row r="2" spans="1:4" ht="27.6" customHeight="1">
      <c r="A2" s="83" t="s">
        <v>71</v>
      </c>
      <c r="B2" s="84"/>
      <c r="C2" s="1085"/>
      <c r="D2" s="1086"/>
    </row>
    <row r="3" spans="1:4" s="85" customFormat="1" ht="4.5" customHeight="1">
      <c r="A3" s="3"/>
      <c r="B3" s="3"/>
      <c r="C3" s="3"/>
      <c r="D3" s="3"/>
    </row>
    <row r="4" spans="1:4" ht="25.95" customHeight="1">
      <c r="A4" s="86" t="s">
        <v>18</v>
      </c>
      <c r="B4" s="87" t="s">
        <v>72</v>
      </c>
      <c r="C4" s="88" t="s">
        <v>73</v>
      </c>
      <c r="D4" s="89" t="s">
        <v>74</v>
      </c>
    </row>
    <row r="5" spans="1:4" s="85" customFormat="1" ht="4.5" customHeight="1">
      <c r="A5" s="3"/>
      <c r="B5" s="3"/>
      <c r="C5" s="3"/>
      <c r="D5" s="3"/>
    </row>
    <row r="6" spans="1:4" ht="25.95" customHeight="1">
      <c r="A6" s="90" t="str">
        <f>Orçamento!A7</f>
        <v>1.</v>
      </c>
      <c r="B6" s="91" t="str">
        <f>Orçamento!C7</f>
        <v>SERVIÇOS PRELIMINARES</v>
      </c>
      <c r="C6" s="92">
        <f>Orçamento!Q34</f>
        <v>307229.09999999998</v>
      </c>
      <c r="D6" s="93">
        <f>C6/$C$26</f>
        <v>9.9771527630940549E-2</v>
      </c>
    </row>
    <row r="7" spans="1:4" ht="25.95" customHeight="1">
      <c r="A7" s="94"/>
      <c r="B7" s="95"/>
      <c r="C7" s="96"/>
      <c r="D7" s="97"/>
    </row>
    <row r="8" spans="1:4" ht="25.95" customHeight="1">
      <c r="A8" s="94" t="str">
        <f>Orçamento!A36</f>
        <v>2.</v>
      </c>
      <c r="B8" s="95" t="str">
        <f>Orçamento!C36</f>
        <v>INFRAESTRUTURA</v>
      </c>
      <c r="C8" s="98">
        <f>Orçamento!Q64</f>
        <v>67769.2</v>
      </c>
      <c r="D8" s="97">
        <f>C8/$C$26</f>
        <v>2.2007800075991294E-2</v>
      </c>
    </row>
    <row r="9" spans="1:4" ht="25.95" customHeight="1">
      <c r="A9" s="94"/>
      <c r="B9" s="95"/>
      <c r="C9" s="98"/>
      <c r="D9" s="97"/>
    </row>
    <row r="10" spans="1:4" ht="25.95" customHeight="1">
      <c r="A10" s="94" t="str">
        <f>Orçamento!A66</f>
        <v>3.</v>
      </c>
      <c r="B10" s="95" t="str">
        <f>Orçamento!C66</f>
        <v>SUPRAESTRUTURA</v>
      </c>
      <c r="C10" s="98">
        <f>Orçamento!Q69</f>
        <v>80105.27</v>
      </c>
      <c r="D10" s="97">
        <f>C10/$C$26</f>
        <v>2.6013893733337609E-2</v>
      </c>
    </row>
    <row r="11" spans="1:4" ht="25.95" customHeight="1">
      <c r="A11" s="94"/>
      <c r="B11" s="95"/>
      <c r="C11" s="98"/>
      <c r="D11" s="97"/>
    </row>
    <row r="12" spans="1:4" ht="25.95" customHeight="1">
      <c r="A12" s="94" t="str">
        <f>Orçamento!A71</f>
        <v>4.</v>
      </c>
      <c r="B12" s="95" t="str">
        <f>Orçamento!C71</f>
        <v>FECHAMENTOS: PAINÉIS, ESQUADRIAS E VIDROS</v>
      </c>
      <c r="C12" s="98">
        <f>Orçamento!Q82</f>
        <v>84698.33</v>
      </c>
      <c r="D12" s="97">
        <f>C12/$C$26</f>
        <v>2.7505473185611393E-2</v>
      </c>
    </row>
    <row r="13" spans="1:4" ht="25.95" customHeight="1">
      <c r="A13" s="94"/>
      <c r="B13" s="95"/>
      <c r="C13" s="98"/>
      <c r="D13" s="97"/>
    </row>
    <row r="14" spans="1:4" ht="25.95" customHeight="1">
      <c r="A14" s="94" t="str">
        <f>Orçamento!A84</f>
        <v>5.</v>
      </c>
      <c r="B14" s="95" t="str">
        <f>Orçamento!C84</f>
        <v>COBERTURAS E PROTEÇÕES</v>
      </c>
      <c r="C14" s="98">
        <f>Orçamento!Q93</f>
        <v>768164.7699999999</v>
      </c>
      <c r="D14" s="97">
        <f>C14/$C$26</f>
        <v>0.24945870223611658</v>
      </c>
    </row>
    <row r="15" spans="1:4" ht="25.95" customHeight="1">
      <c r="A15" s="94"/>
      <c r="B15" s="95"/>
      <c r="C15" s="98"/>
      <c r="D15" s="97"/>
    </row>
    <row r="16" spans="1:4" ht="25.95" customHeight="1">
      <c r="A16" s="94" t="str">
        <f>Orçamento!A95</f>
        <v>6.</v>
      </c>
      <c r="B16" s="95" t="str">
        <f>Orçamento!C95</f>
        <v>PAREDE:  REVESTIMENTOS, ELEMENTOS DECORATIVOS, PINTURA</v>
      </c>
      <c r="C16" s="98">
        <f>Orçamento!Q104</f>
        <v>70373.990000000005</v>
      </c>
      <c r="D16" s="97">
        <f>C16/$C$26</f>
        <v>2.2853696110767291E-2</v>
      </c>
    </row>
    <row r="17" spans="1:7" ht="25.95" customHeight="1">
      <c r="A17" s="94"/>
      <c r="B17" s="95"/>
      <c r="C17" s="99"/>
      <c r="D17" s="97"/>
    </row>
    <row r="18" spans="1:7" ht="25.95" customHeight="1">
      <c r="A18" s="94" t="s">
        <v>114</v>
      </c>
      <c r="B18" s="95" t="str">
        <f>Orçamento!C106</f>
        <v>PISOS, RODAPÉS E SOLEIRAS</v>
      </c>
      <c r="C18" s="98">
        <f>Orçamento!Q114</f>
        <v>356141.66</v>
      </c>
      <c r="D18" s="97">
        <f>C18/$C$26</f>
        <v>0.11565570276780107</v>
      </c>
    </row>
    <row r="19" spans="1:7" ht="25.95" customHeight="1">
      <c r="A19" s="94"/>
      <c r="B19" s="95"/>
      <c r="C19" s="99"/>
      <c r="D19" s="97"/>
    </row>
    <row r="20" spans="1:7" ht="25.95" customHeight="1">
      <c r="A20" s="94" t="s">
        <v>1033</v>
      </c>
      <c r="B20" s="129" t="s">
        <v>2325</v>
      </c>
      <c r="C20" s="98">
        <f>Orçamento!Q315</f>
        <v>890573.16</v>
      </c>
      <c r="D20" s="97">
        <f>C20/$C$26</f>
        <v>0.28921037961675522</v>
      </c>
    </row>
    <row r="21" spans="1:7" ht="25.95" customHeight="1">
      <c r="A21" s="94"/>
      <c r="B21" s="95"/>
      <c r="C21" s="99"/>
      <c r="D21" s="100"/>
    </row>
    <row r="22" spans="1:7" ht="25.95" customHeight="1">
      <c r="A22" s="94" t="str">
        <f>Orçamento!A317</f>
        <v>9.</v>
      </c>
      <c r="B22" s="95" t="str">
        <f>Orçamento!C317</f>
        <v>COMPLEMENTAÇÃO DA OBRA</v>
      </c>
      <c r="C22" s="98">
        <f>Orçamento!Q366</f>
        <v>454270.93000000005</v>
      </c>
      <c r="D22" s="97">
        <f>C22/$C$26</f>
        <v>0.14752282464267893</v>
      </c>
    </row>
    <row r="23" spans="1:7" ht="25.95" customHeight="1">
      <c r="A23" s="94"/>
      <c r="B23" s="95"/>
      <c r="C23" s="99"/>
      <c r="D23" s="100"/>
    </row>
    <row r="24" spans="1:7" ht="25.95" customHeight="1">
      <c r="A24" s="101"/>
      <c r="B24" s="102"/>
      <c r="C24" s="102"/>
      <c r="D24" s="103"/>
    </row>
    <row r="25" spans="1:7" s="85" customFormat="1" ht="4.5" customHeight="1">
      <c r="A25" s="3"/>
      <c r="B25" s="3"/>
      <c r="C25" s="3"/>
      <c r="D25" s="3"/>
    </row>
    <row r="26" spans="1:7" s="85" customFormat="1" ht="40.200000000000003" customHeight="1">
      <c r="A26" s="104"/>
      <c r="B26" s="626" t="s">
        <v>75</v>
      </c>
      <c r="C26" s="627">
        <f>SUM(C6:C23)</f>
        <v>3079326.41</v>
      </c>
      <c r="D26" s="628">
        <f>C26/$C$26</f>
        <v>1</v>
      </c>
    </row>
    <row r="27" spans="1:7">
      <c r="A27" s="105"/>
      <c r="B27" s="106"/>
      <c r="C27" s="106"/>
      <c r="D27" s="107"/>
    </row>
    <row r="28" spans="1:7">
      <c r="A28" s="108"/>
      <c r="D28" s="109"/>
    </row>
    <row r="29" spans="1:7">
      <c r="A29" s="108"/>
      <c r="D29" s="109"/>
    </row>
    <row r="30" spans="1:7">
      <c r="A30" s="108"/>
      <c r="D30" s="109"/>
    </row>
    <row r="31" spans="1:7" s="114" customFormat="1" ht="12" customHeight="1">
      <c r="A31" s="110"/>
      <c r="B31" s="111"/>
      <c r="C31" s="111"/>
      <c r="D31" s="112"/>
      <c r="E31" s="113"/>
      <c r="F31" s="113"/>
      <c r="G31" s="113"/>
    </row>
    <row r="32" spans="1:7" ht="12.75" customHeight="1">
      <c r="A32" s="115"/>
      <c r="B32" s="116"/>
      <c r="C32" s="116"/>
      <c r="D32" s="117"/>
      <c r="E32" s="118"/>
      <c r="F32" s="118"/>
      <c r="G32" s="118"/>
    </row>
    <row r="33" spans="1:4">
      <c r="A33" s="119"/>
      <c r="B33" s="120"/>
      <c r="C33" s="120"/>
      <c r="D33" s="121"/>
    </row>
  </sheetData>
  <mergeCells count="1">
    <mergeCell ref="C1:D2"/>
  </mergeCells>
  <printOptions horizontalCentered="1"/>
  <pageMargins left="0.9055118110236221" right="0.51181102362204722" top="0.78740157480314965" bottom="0.78740157480314965" header="0.31496062992125984" footer="0.31496062992125984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514"/>
  <sheetViews>
    <sheetView showGridLines="0" view="pageBreakPreview" zoomScale="70" zoomScaleSheetLayoutView="70" workbookViewId="0">
      <pane ySplit="5" topLeftCell="A358" activePane="bottomLeft" state="frozen"/>
      <selection activeCell="A5" sqref="A5"/>
      <selection pane="bottomLeft" activeCell="C359" sqref="C359"/>
    </sheetView>
  </sheetViews>
  <sheetFormatPr defaultColWidth="9.109375" defaultRowHeight="63" customHeight="1"/>
  <cols>
    <col min="1" max="1" width="8" style="224" customWidth="1"/>
    <col min="2" max="2" width="18.109375" style="201" customWidth="1"/>
    <col min="3" max="3" width="68.109375" style="202" customWidth="1"/>
    <col min="4" max="4" width="9" style="201" customWidth="1"/>
    <col min="5" max="5" width="13.33203125" style="564" hidden="1" customWidth="1"/>
    <col min="6" max="13" width="13.33203125" style="203" hidden="1" customWidth="1"/>
    <col min="14" max="14" width="14.44140625" style="203" hidden="1" customWidth="1"/>
    <col min="15" max="15" width="13.33203125" style="203" customWidth="1"/>
    <col min="16" max="16" width="14.5546875" style="203" customWidth="1"/>
    <col min="17" max="17" width="19.6640625" style="203" customWidth="1"/>
    <col min="18" max="27" width="9.109375" style="193"/>
    <col min="28" max="28" width="11.5546875" style="193" bestFit="1" customWidth="1"/>
    <col min="29" max="16384" width="9.109375" style="193"/>
  </cols>
  <sheetData>
    <row r="1" spans="1:19" s="159" customFormat="1" ht="39" customHeight="1">
      <c r="A1" s="1096" t="s">
        <v>1116</v>
      </c>
      <c r="B1" s="1097"/>
      <c r="C1" s="219" t="s">
        <v>1121</v>
      </c>
      <c r="D1" s="720"/>
      <c r="E1" s="1087" t="s">
        <v>1120</v>
      </c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9"/>
      <c r="S1" s="775"/>
    </row>
    <row r="2" spans="1:19" s="159" customFormat="1" ht="42" customHeight="1" thickBot="1">
      <c r="A2" s="1098"/>
      <c r="B2" s="1099"/>
      <c r="C2" s="220" t="s">
        <v>1554</v>
      </c>
      <c r="D2" s="721"/>
      <c r="E2" s="1090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  <c r="Q2" s="1092"/>
      <c r="S2" s="775"/>
    </row>
    <row r="3" spans="1:19" s="160" customFormat="1" ht="21" customHeight="1">
      <c r="A3" s="221"/>
      <c r="B3" s="216"/>
      <c r="C3" s="215"/>
      <c r="D3" s="216"/>
      <c r="E3" s="543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8"/>
    </row>
    <row r="4" spans="1:19" s="161" customFormat="1" ht="46.5" customHeight="1">
      <c r="A4" s="1100" t="s">
        <v>18</v>
      </c>
      <c r="B4" s="1102" t="s">
        <v>33</v>
      </c>
      <c r="C4" s="1104" t="s">
        <v>19</v>
      </c>
      <c r="D4" s="1106" t="s">
        <v>1740</v>
      </c>
      <c r="E4" s="1112" t="s">
        <v>1741</v>
      </c>
      <c r="F4" s="1113"/>
      <c r="G4" s="1113"/>
      <c r="H4" s="1113"/>
      <c r="I4" s="1113"/>
      <c r="J4" s="1113"/>
      <c r="K4" s="1113"/>
      <c r="L4" s="1113"/>
      <c r="M4" s="1113"/>
      <c r="N4" s="1114"/>
      <c r="O4" s="1108" t="s">
        <v>1750</v>
      </c>
      <c r="P4" s="1108" t="s">
        <v>2957</v>
      </c>
      <c r="Q4" s="1110" t="s">
        <v>1772</v>
      </c>
    </row>
    <row r="5" spans="1:19" s="160" customFormat="1" ht="29.25" customHeight="1">
      <c r="A5" s="1101"/>
      <c r="B5" s="1103"/>
      <c r="C5" s="1105"/>
      <c r="D5" s="1107"/>
      <c r="E5" s="521" t="s">
        <v>1742</v>
      </c>
      <c r="F5" s="521" t="s">
        <v>1743</v>
      </c>
      <c r="G5" s="521" t="s">
        <v>1744</v>
      </c>
      <c r="H5" s="521" t="s">
        <v>1745</v>
      </c>
      <c r="I5" s="521" t="s">
        <v>1746</v>
      </c>
      <c r="J5" s="521" t="s">
        <v>1747</v>
      </c>
      <c r="K5" s="521" t="s">
        <v>1748</v>
      </c>
      <c r="L5" s="521" t="s">
        <v>1749</v>
      </c>
      <c r="M5" s="521" t="s">
        <v>1771</v>
      </c>
      <c r="N5" s="585" t="s">
        <v>2046</v>
      </c>
      <c r="O5" s="1109"/>
      <c r="P5" s="1109"/>
      <c r="Q5" s="1111"/>
    </row>
    <row r="6" spans="1:19" s="160" customFormat="1" ht="19.5" customHeight="1">
      <c r="A6" s="238"/>
      <c r="B6" s="239"/>
      <c r="C6" s="520"/>
      <c r="D6" s="239"/>
      <c r="E6" s="544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  <c r="Q6" s="978"/>
    </row>
    <row r="7" spans="1:19" s="161" customFormat="1" ht="28.5" customHeight="1">
      <c r="A7" s="210" t="s">
        <v>24</v>
      </c>
      <c r="B7" s="211"/>
      <c r="C7" s="212" t="s">
        <v>136</v>
      </c>
      <c r="D7" s="211"/>
      <c r="E7" s="545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4" t="s">
        <v>0</v>
      </c>
      <c r="Q7" s="214"/>
    </row>
    <row r="8" spans="1:19" s="161" customFormat="1" ht="30" customHeight="1">
      <c r="A8" s="209" t="s">
        <v>6</v>
      </c>
      <c r="B8" s="205"/>
      <c r="C8" s="206" t="s">
        <v>1117</v>
      </c>
      <c r="D8" s="205"/>
      <c r="E8" s="54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8"/>
      <c r="Q8" s="208"/>
    </row>
    <row r="9" spans="1:19" s="161" customFormat="1" ht="33" customHeight="1">
      <c r="A9" s="248" t="s">
        <v>20</v>
      </c>
      <c r="B9" s="625" t="s">
        <v>2322</v>
      </c>
      <c r="C9" s="177" t="s">
        <v>2084</v>
      </c>
      <c r="D9" s="170" t="s">
        <v>1452</v>
      </c>
      <c r="E9" s="589"/>
      <c r="F9" s="590"/>
      <c r="G9" s="590"/>
      <c r="H9" s="590"/>
      <c r="I9" s="592"/>
      <c r="J9" s="592"/>
      <c r="K9" s="592"/>
      <c r="L9" s="592"/>
      <c r="M9" s="592"/>
      <c r="N9" s="166">
        <v>1</v>
      </c>
      <c r="O9" s="166">
        <v>1</v>
      </c>
      <c r="P9" s="167">
        <f>COMPOSIÇÕES!B33</f>
        <v>2495.9760000000001</v>
      </c>
      <c r="Q9" s="267">
        <f>TRUNC(O9*P9,2)</f>
        <v>2495.9699999999998</v>
      </c>
    </row>
    <row r="10" spans="1:19" s="161" customFormat="1" ht="36" customHeight="1">
      <c r="A10" s="248" t="s">
        <v>23</v>
      </c>
      <c r="B10" s="249" t="s">
        <v>2086</v>
      </c>
      <c r="C10" s="177" t="s">
        <v>2655</v>
      </c>
      <c r="D10" s="170" t="s">
        <v>1452</v>
      </c>
      <c r="E10" s="589"/>
      <c r="F10" s="590"/>
      <c r="G10" s="590"/>
      <c r="H10" s="590"/>
      <c r="I10" s="592"/>
      <c r="J10" s="592"/>
      <c r="K10" s="592"/>
      <c r="L10" s="592"/>
      <c r="M10" s="592"/>
      <c r="N10" s="166">
        <v>1</v>
      </c>
      <c r="O10" s="166">
        <v>1</v>
      </c>
      <c r="P10" s="167">
        <f>1337.14*1.245</f>
        <v>1664.7393000000002</v>
      </c>
      <c r="Q10" s="267">
        <f t="shared" ref="Q10:Q12" si="0">TRUNC(O10*P10,2)</f>
        <v>1664.73</v>
      </c>
    </row>
    <row r="11" spans="1:19" s="168" customFormat="1" ht="39" customHeight="1">
      <c r="A11" s="248" t="s">
        <v>1898</v>
      </c>
      <c r="B11" s="249" t="s">
        <v>141</v>
      </c>
      <c r="C11" s="204" t="s">
        <v>2647</v>
      </c>
      <c r="D11" s="165" t="s">
        <v>12</v>
      </c>
      <c r="E11" s="550"/>
      <c r="F11" s="175"/>
      <c r="G11" s="175"/>
      <c r="H11" s="175"/>
      <c r="I11" s="175"/>
      <c r="J11" s="175"/>
      <c r="K11" s="175"/>
      <c r="L11" s="175"/>
      <c r="M11" s="175"/>
      <c r="N11" s="175">
        <v>6</v>
      </c>
      <c r="O11" s="175">
        <v>6</v>
      </c>
      <c r="P11" s="167">
        <f>COMPOSIÇÕES!B76</f>
        <v>511.38374999999996</v>
      </c>
      <c r="Q11" s="267">
        <f t="shared" si="0"/>
        <v>3068.3</v>
      </c>
    </row>
    <row r="12" spans="1:19" s="168" customFormat="1" ht="36" customHeight="1">
      <c r="A12" s="248" t="s">
        <v>2085</v>
      </c>
      <c r="B12" s="591" t="s">
        <v>2654</v>
      </c>
      <c r="C12" s="164" t="s">
        <v>2656</v>
      </c>
      <c r="D12" s="165" t="s">
        <v>12</v>
      </c>
      <c r="E12" s="537"/>
      <c r="F12" s="166"/>
      <c r="G12" s="166"/>
      <c r="H12" s="166"/>
      <c r="I12" s="166"/>
      <c r="J12" s="166"/>
      <c r="K12" s="166"/>
      <c r="L12" s="166"/>
      <c r="M12" s="175"/>
      <c r="N12" s="175">
        <f>(43+56)*2</f>
        <v>198</v>
      </c>
      <c r="O12" s="175">
        <v>257.60000000000002</v>
      </c>
      <c r="P12" s="167">
        <f>83.62*1.245</f>
        <v>104.10690000000001</v>
      </c>
      <c r="Q12" s="267">
        <f t="shared" si="0"/>
        <v>26817.93</v>
      </c>
    </row>
    <row r="13" spans="1:19" s="168" customFormat="1" ht="25.5" customHeight="1">
      <c r="A13" s="248"/>
      <c r="B13" s="712"/>
      <c r="C13" s="703" t="s">
        <v>2606</v>
      </c>
      <c r="D13" s="265"/>
      <c r="E13" s="547"/>
      <c r="F13" s="228"/>
      <c r="G13" s="228"/>
      <c r="H13" s="228"/>
      <c r="I13" s="228"/>
      <c r="J13" s="228"/>
      <c r="K13" s="228"/>
      <c r="L13" s="228"/>
      <c r="M13" s="266"/>
      <c r="N13" s="266"/>
      <c r="O13" s="266"/>
      <c r="P13" s="229"/>
      <c r="Q13" s="254">
        <f>SUM(Q9:Q12)</f>
        <v>34046.93</v>
      </c>
    </row>
    <row r="14" spans="1:19" s="168" customFormat="1" ht="30" customHeight="1">
      <c r="A14" s="209" t="s">
        <v>7</v>
      </c>
      <c r="B14" s="225"/>
      <c r="C14" s="226" t="s">
        <v>1118</v>
      </c>
      <c r="D14" s="227"/>
      <c r="E14" s="547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9"/>
      <c r="Q14" s="267"/>
    </row>
    <row r="15" spans="1:19" s="168" customFormat="1" ht="66.75" customHeight="1">
      <c r="A15" s="162" t="s">
        <v>21</v>
      </c>
      <c r="B15" s="163" t="s">
        <v>1494</v>
      </c>
      <c r="C15" s="164" t="s">
        <v>2077</v>
      </c>
      <c r="D15" s="169" t="s">
        <v>17</v>
      </c>
      <c r="E15" s="537"/>
      <c r="F15" s="166"/>
      <c r="G15" s="166"/>
      <c r="H15" s="166"/>
      <c r="I15" s="166"/>
      <c r="J15" s="166"/>
      <c r="K15" s="166"/>
      <c r="L15" s="166"/>
      <c r="M15" s="166"/>
      <c r="N15" s="166">
        <v>4</v>
      </c>
      <c r="O15" s="166">
        <v>4</v>
      </c>
      <c r="P15" s="167">
        <f>COMPOSIÇÕES!B90</f>
        <v>649.89</v>
      </c>
      <c r="Q15" s="267">
        <f t="shared" ref="Q15:Q21" si="1">TRUNC(O15*P15,2)</f>
        <v>2599.56</v>
      </c>
    </row>
    <row r="16" spans="1:19" s="168" customFormat="1" ht="66.75" customHeight="1">
      <c r="A16" s="162" t="s">
        <v>2642</v>
      </c>
      <c r="B16" s="163" t="s">
        <v>1494</v>
      </c>
      <c r="C16" s="164" t="s">
        <v>2079</v>
      </c>
      <c r="D16" s="169" t="s">
        <v>17</v>
      </c>
      <c r="E16" s="537"/>
      <c r="F16" s="166"/>
      <c r="G16" s="166"/>
      <c r="H16" s="166"/>
      <c r="I16" s="166"/>
      <c r="J16" s="166"/>
      <c r="K16" s="166"/>
      <c r="L16" s="166"/>
      <c r="M16" s="166"/>
      <c r="N16" s="166">
        <f>2*4</f>
        <v>8</v>
      </c>
      <c r="O16" s="166">
        <v>8</v>
      </c>
      <c r="P16" s="167">
        <f>COMPOSIÇÕES!B90</f>
        <v>649.89</v>
      </c>
      <c r="Q16" s="267">
        <f t="shared" si="1"/>
        <v>5199.12</v>
      </c>
    </row>
    <row r="17" spans="1:17" s="168" customFormat="1" ht="66.75" customHeight="1">
      <c r="A17" s="162" t="s">
        <v>1119</v>
      </c>
      <c r="B17" s="163" t="s">
        <v>1494</v>
      </c>
      <c r="C17" s="164" t="s">
        <v>2081</v>
      </c>
      <c r="D17" s="169" t="s">
        <v>17</v>
      </c>
      <c r="E17" s="537"/>
      <c r="F17" s="166"/>
      <c r="G17" s="166"/>
      <c r="H17" s="166"/>
      <c r="I17" s="166"/>
      <c r="J17" s="166"/>
      <c r="K17" s="166"/>
      <c r="L17" s="166"/>
      <c r="M17" s="166"/>
      <c r="N17" s="166">
        <v>4</v>
      </c>
      <c r="O17" s="166">
        <v>4</v>
      </c>
      <c r="P17" s="167">
        <f>COMPOSIÇÕES!B90</f>
        <v>649.89</v>
      </c>
      <c r="Q17" s="267">
        <f t="shared" si="1"/>
        <v>2599.56</v>
      </c>
    </row>
    <row r="18" spans="1:17" s="168" customFormat="1" ht="66.75" customHeight="1">
      <c r="A18" s="162" t="s">
        <v>2082</v>
      </c>
      <c r="B18" s="163" t="s">
        <v>1494</v>
      </c>
      <c r="C18" s="164" t="s">
        <v>2080</v>
      </c>
      <c r="D18" s="169" t="s">
        <v>17</v>
      </c>
      <c r="E18" s="537"/>
      <c r="F18" s="166"/>
      <c r="G18" s="166"/>
      <c r="H18" s="166"/>
      <c r="I18" s="166"/>
      <c r="J18" s="166"/>
      <c r="K18" s="166"/>
      <c r="L18" s="166"/>
      <c r="M18" s="166"/>
      <c r="N18" s="166">
        <v>4</v>
      </c>
      <c r="O18" s="166">
        <v>4</v>
      </c>
      <c r="P18" s="167">
        <f>COMPOSIÇÕES!B90</f>
        <v>649.89</v>
      </c>
      <c r="Q18" s="267">
        <f t="shared" si="1"/>
        <v>2599.56</v>
      </c>
    </row>
    <row r="19" spans="1:17" s="168" customFormat="1" ht="66.75" customHeight="1">
      <c r="A19" s="162" t="s">
        <v>2083</v>
      </c>
      <c r="B19" s="163" t="s">
        <v>1494</v>
      </c>
      <c r="C19" s="164" t="s">
        <v>2078</v>
      </c>
      <c r="D19" s="169" t="s">
        <v>17</v>
      </c>
      <c r="E19" s="537"/>
      <c r="F19" s="166"/>
      <c r="G19" s="166"/>
      <c r="H19" s="166"/>
      <c r="I19" s="166"/>
      <c r="J19" s="166"/>
      <c r="K19" s="166"/>
      <c r="L19" s="166"/>
      <c r="M19" s="166"/>
      <c r="N19" s="166">
        <f>4</f>
        <v>4</v>
      </c>
      <c r="O19" s="166">
        <v>4</v>
      </c>
      <c r="P19" s="167">
        <f>COMPOSIÇÕES!B90</f>
        <v>649.89</v>
      </c>
      <c r="Q19" s="267">
        <f t="shared" si="1"/>
        <v>2599.56</v>
      </c>
    </row>
    <row r="20" spans="1:17" s="168" customFormat="1" ht="39.75" customHeight="1">
      <c r="A20" s="162" t="s">
        <v>3144</v>
      </c>
      <c r="B20" s="163" t="s">
        <v>3140</v>
      </c>
      <c r="C20" s="164" t="s">
        <v>3141</v>
      </c>
      <c r="D20" s="169" t="s">
        <v>2713</v>
      </c>
      <c r="E20" s="537"/>
      <c r="F20" s="166"/>
      <c r="G20" s="166"/>
      <c r="H20" s="166"/>
      <c r="I20" s="166"/>
      <c r="J20" s="166"/>
      <c r="K20" s="166"/>
      <c r="L20" s="166"/>
      <c r="M20" s="166"/>
      <c r="N20" s="166"/>
      <c r="O20" s="166">
        <v>10</v>
      </c>
      <c r="P20" s="167">
        <f>21.43*1.245</f>
        <v>26.680350000000001</v>
      </c>
      <c r="Q20" s="267">
        <f t="shared" si="1"/>
        <v>266.8</v>
      </c>
    </row>
    <row r="21" spans="1:17" s="168" customFormat="1" ht="33.75" customHeight="1">
      <c r="A21" s="162" t="s">
        <v>3145</v>
      </c>
      <c r="B21" s="249" t="s">
        <v>3142</v>
      </c>
      <c r="C21" s="269" t="s">
        <v>3143</v>
      </c>
      <c r="D21" s="170" t="s">
        <v>2713</v>
      </c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166">
        <v>10</v>
      </c>
      <c r="P21" s="269">
        <f>58.28*1.245</f>
        <v>72.558600000000013</v>
      </c>
      <c r="Q21" s="999">
        <f t="shared" si="1"/>
        <v>725.58</v>
      </c>
    </row>
    <row r="22" spans="1:17" s="168" customFormat="1" ht="24.75" customHeight="1">
      <c r="A22" s="263"/>
      <c r="B22" s="704"/>
      <c r="C22" s="703" t="s">
        <v>2605</v>
      </c>
      <c r="D22" s="227"/>
      <c r="E22" s="547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9"/>
      <c r="Q22" s="980">
        <f>SUM(Q15:Q21)</f>
        <v>16589.739999999998</v>
      </c>
    </row>
    <row r="23" spans="1:17" s="168" customFormat="1" ht="30" customHeight="1">
      <c r="A23" s="209" t="s">
        <v>8</v>
      </c>
      <c r="B23" s="225"/>
      <c r="C23" s="226" t="s">
        <v>113</v>
      </c>
      <c r="D23" s="227"/>
      <c r="E23" s="547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9"/>
      <c r="Q23" s="981"/>
    </row>
    <row r="24" spans="1:17" s="168" customFormat="1" ht="36" customHeight="1">
      <c r="A24" s="162" t="s">
        <v>22</v>
      </c>
      <c r="B24" s="171" t="s">
        <v>79</v>
      </c>
      <c r="C24" s="172" t="s">
        <v>152</v>
      </c>
      <c r="D24" s="170" t="s">
        <v>1910</v>
      </c>
      <c r="E24" s="537"/>
      <c r="F24" s="166"/>
      <c r="G24" s="166"/>
      <c r="H24" s="166"/>
      <c r="I24" s="166"/>
      <c r="J24" s="166"/>
      <c r="K24" s="166"/>
      <c r="L24" s="166"/>
      <c r="M24" s="166"/>
      <c r="N24" s="166">
        <v>1</v>
      </c>
      <c r="O24" s="166">
        <v>1</v>
      </c>
      <c r="P24" s="1077">
        <v>8055.36</v>
      </c>
      <c r="Q24" s="267">
        <f t="shared" ref="Q24:Q29" si="2">TRUNC(O24*P24,2)</f>
        <v>8055.36</v>
      </c>
    </row>
    <row r="25" spans="1:17" s="168" customFormat="1" ht="20.100000000000001" customHeight="1">
      <c r="A25" s="162" t="s">
        <v>52</v>
      </c>
      <c r="B25" s="171" t="s">
        <v>79</v>
      </c>
      <c r="C25" s="172" t="s">
        <v>2467</v>
      </c>
      <c r="D25" s="184" t="s">
        <v>1452</v>
      </c>
      <c r="E25" s="538"/>
      <c r="F25" s="185"/>
      <c r="G25" s="185"/>
      <c r="H25" s="185"/>
      <c r="I25" s="185"/>
      <c r="J25" s="185"/>
      <c r="K25" s="185"/>
      <c r="L25" s="185"/>
      <c r="M25" s="185"/>
      <c r="N25" s="185">
        <v>1</v>
      </c>
      <c r="O25" s="166">
        <v>1</v>
      </c>
      <c r="P25" s="660">
        <f>1500*3</f>
        <v>4500</v>
      </c>
      <c r="Q25" s="267">
        <f t="shared" si="2"/>
        <v>4500</v>
      </c>
    </row>
    <row r="26" spans="1:17" s="168" customFormat="1" ht="20.100000000000001" customHeight="1">
      <c r="A26" s="162" t="s">
        <v>53</v>
      </c>
      <c r="B26" s="171" t="s">
        <v>79</v>
      </c>
      <c r="C26" s="172" t="s">
        <v>2468</v>
      </c>
      <c r="D26" s="184" t="s">
        <v>1492</v>
      </c>
      <c r="E26" s="538"/>
      <c r="F26" s="185"/>
      <c r="G26" s="185"/>
      <c r="H26" s="185"/>
      <c r="I26" s="185"/>
      <c r="J26" s="185"/>
      <c r="K26" s="185"/>
      <c r="L26" s="185"/>
      <c r="M26" s="185"/>
      <c r="N26" s="185">
        <v>4</v>
      </c>
      <c r="O26" s="166">
        <v>4</v>
      </c>
      <c r="P26" s="660">
        <f>'Administração da Obra'!I66</f>
        <v>31549.939501604847</v>
      </c>
      <c r="Q26" s="267">
        <f t="shared" si="2"/>
        <v>126199.75</v>
      </c>
    </row>
    <row r="27" spans="1:17" s="168" customFormat="1" ht="20.100000000000001" customHeight="1">
      <c r="A27" s="162" t="s">
        <v>54</v>
      </c>
      <c r="B27" s="171" t="s">
        <v>79</v>
      </c>
      <c r="C27" s="172" t="s">
        <v>2548</v>
      </c>
      <c r="D27" s="184" t="s">
        <v>1492</v>
      </c>
      <c r="E27" s="538"/>
      <c r="F27" s="185"/>
      <c r="G27" s="185"/>
      <c r="H27" s="185"/>
      <c r="I27" s="185"/>
      <c r="J27" s="185"/>
      <c r="K27" s="185"/>
      <c r="L27" s="185"/>
      <c r="M27" s="185"/>
      <c r="N27" s="185">
        <v>4</v>
      </c>
      <c r="O27" s="166">
        <v>4</v>
      </c>
      <c r="P27" s="660">
        <f>'Administração da Obra'!O23</f>
        <v>8193.65</v>
      </c>
      <c r="Q27" s="267">
        <f t="shared" si="2"/>
        <v>32774.6</v>
      </c>
    </row>
    <row r="28" spans="1:17" s="168" customFormat="1" ht="20.100000000000001" customHeight="1">
      <c r="A28" s="162" t="s">
        <v>2469</v>
      </c>
      <c r="B28" s="171" t="s">
        <v>79</v>
      </c>
      <c r="C28" s="172" t="s">
        <v>2641</v>
      </c>
      <c r="D28" s="184" t="s">
        <v>1492</v>
      </c>
      <c r="E28" s="538"/>
      <c r="F28" s="185"/>
      <c r="G28" s="185"/>
      <c r="H28" s="185"/>
      <c r="I28" s="185"/>
      <c r="J28" s="185"/>
      <c r="K28" s="185"/>
      <c r="L28" s="185"/>
      <c r="M28" s="185"/>
      <c r="N28" s="185">
        <v>4</v>
      </c>
      <c r="O28" s="166">
        <v>4</v>
      </c>
      <c r="P28" s="660">
        <v>5644</v>
      </c>
      <c r="Q28" s="267">
        <f t="shared" si="2"/>
        <v>22576</v>
      </c>
    </row>
    <row r="29" spans="1:17" s="168" customFormat="1" ht="20.100000000000001" customHeight="1">
      <c r="A29" s="162" t="s">
        <v>2568</v>
      </c>
      <c r="B29" s="171" t="s">
        <v>79</v>
      </c>
      <c r="C29" s="700" t="s">
        <v>2638</v>
      </c>
      <c r="D29" s="184" t="s">
        <v>1492</v>
      </c>
      <c r="E29" s="538"/>
      <c r="F29" s="486"/>
      <c r="G29" s="486"/>
      <c r="H29" s="486"/>
      <c r="I29" s="486"/>
      <c r="J29" s="486"/>
      <c r="K29" s="486"/>
      <c r="L29" s="486"/>
      <c r="M29" s="486"/>
      <c r="N29" s="185">
        <v>4</v>
      </c>
      <c r="O29" s="166">
        <v>4</v>
      </c>
      <c r="P29" s="167">
        <f>'Administração da Obra'!O42</f>
        <v>14507.73</v>
      </c>
      <c r="Q29" s="267">
        <f t="shared" si="2"/>
        <v>58030.92</v>
      </c>
    </row>
    <row r="30" spans="1:17" s="168" customFormat="1" ht="21.75" customHeight="1">
      <c r="A30" s="263"/>
      <c r="B30" s="753"/>
      <c r="C30" s="703" t="s">
        <v>2604</v>
      </c>
      <c r="D30" s="753"/>
      <c r="E30" s="762"/>
      <c r="F30" s="760"/>
      <c r="G30" s="760"/>
      <c r="H30" s="760"/>
      <c r="I30" s="760"/>
      <c r="J30" s="760"/>
      <c r="K30" s="760"/>
      <c r="L30" s="760"/>
      <c r="M30" s="760"/>
      <c r="N30" s="763"/>
      <c r="O30" s="228"/>
      <c r="P30" s="229"/>
      <c r="Q30" s="980">
        <f>SUM(Q24:Q29)</f>
        <v>252136.63</v>
      </c>
    </row>
    <row r="31" spans="1:17" s="168" customFormat="1" ht="24.75" customHeight="1">
      <c r="A31" s="209" t="s">
        <v>1538</v>
      </c>
      <c r="B31" s="225"/>
      <c r="C31" s="226" t="s">
        <v>1539</v>
      </c>
      <c r="D31" s="227"/>
      <c r="E31" s="547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  <c r="Q31" s="981"/>
    </row>
    <row r="32" spans="1:17" s="168" customFormat="1" ht="31.5" customHeight="1">
      <c r="A32" s="162" t="s">
        <v>1551</v>
      </c>
      <c r="B32" s="163" t="s">
        <v>2061</v>
      </c>
      <c r="C32" s="234" t="s">
        <v>2060</v>
      </c>
      <c r="D32" s="233" t="s">
        <v>1487</v>
      </c>
      <c r="E32" s="584"/>
      <c r="F32" s="486"/>
      <c r="G32" s="486"/>
      <c r="H32" s="486"/>
      <c r="I32" s="486"/>
      <c r="J32" s="486"/>
      <c r="K32" s="486"/>
      <c r="L32" s="486"/>
      <c r="M32" s="486"/>
      <c r="N32" s="486">
        <v>154</v>
      </c>
      <c r="O32" s="486">
        <v>154</v>
      </c>
      <c r="P32" s="994">
        <f>COMPOSIÇÕES!B207</f>
        <v>28.933800000000002</v>
      </c>
      <c r="Q32" s="267">
        <f>TRUNC(O32*P32,2)</f>
        <v>4455.8</v>
      </c>
    </row>
    <row r="33" spans="1:17" s="168" customFormat="1" ht="24" customHeight="1">
      <c r="A33" s="263"/>
      <c r="B33" s="757"/>
      <c r="C33" s="703" t="s">
        <v>2603</v>
      </c>
      <c r="D33" s="758"/>
      <c r="E33" s="759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1"/>
      <c r="Q33" s="254">
        <f>SUM(Q32:Q32)</f>
        <v>4455.8</v>
      </c>
    </row>
    <row r="34" spans="1:17" s="160" customFormat="1" ht="19.5" customHeight="1">
      <c r="A34" s="210"/>
      <c r="B34" s="235"/>
      <c r="C34" s="243" t="s">
        <v>11</v>
      </c>
      <c r="D34" s="235" t="s">
        <v>2</v>
      </c>
      <c r="E34" s="548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7"/>
      <c r="Q34" s="237">
        <f>Q33+Q30+Q22+Q13</f>
        <v>307229.09999999998</v>
      </c>
    </row>
    <row r="35" spans="1:17" s="160" customFormat="1" ht="15" customHeight="1">
      <c r="A35" s="238"/>
      <c r="B35" s="239"/>
      <c r="C35" s="240"/>
      <c r="D35" s="239"/>
      <c r="E35" s="544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2"/>
      <c r="Q35" s="979"/>
    </row>
    <row r="36" spans="1:17" s="160" customFormat="1" ht="34.5" customHeight="1">
      <c r="A36" s="210" t="s">
        <v>25</v>
      </c>
      <c r="B36" s="235"/>
      <c r="C36" s="212" t="s">
        <v>1125</v>
      </c>
      <c r="D36" s="235" t="s">
        <v>2</v>
      </c>
      <c r="E36" s="548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7" t="s">
        <v>0</v>
      </c>
      <c r="Q36" s="237"/>
    </row>
    <row r="37" spans="1:17" s="160" customFormat="1" ht="27" customHeight="1">
      <c r="A37" s="250" t="s">
        <v>14</v>
      </c>
      <c r="B37" s="251"/>
      <c r="C37" s="252" t="s">
        <v>1777</v>
      </c>
      <c r="D37" s="251"/>
      <c r="E37" s="549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4"/>
      <c r="Q37" s="254"/>
    </row>
    <row r="38" spans="1:17" s="168" customFormat="1" ht="33" customHeight="1">
      <c r="A38" s="173" t="s">
        <v>1144</v>
      </c>
      <c r="B38" s="174" t="s">
        <v>2545</v>
      </c>
      <c r="C38" s="244" t="s">
        <v>2680</v>
      </c>
      <c r="D38" s="165" t="s">
        <v>12</v>
      </c>
      <c r="E38" s="550"/>
      <c r="F38" s="175"/>
      <c r="G38" s="175"/>
      <c r="H38" s="175"/>
      <c r="I38" s="175"/>
      <c r="J38" s="175"/>
      <c r="K38" s="175"/>
      <c r="L38" s="175"/>
      <c r="M38" s="175"/>
      <c r="N38" s="175">
        <v>6315</v>
      </c>
      <c r="O38" s="175">
        <v>1311.1</v>
      </c>
      <c r="P38" s="995">
        <f>COMPOSIÇÕES!B281</f>
        <v>9.4246499999999997</v>
      </c>
      <c r="Q38" s="267">
        <f>TRUNC(O38*P38,2)</f>
        <v>12356.65</v>
      </c>
    </row>
    <row r="39" spans="1:17" s="168" customFormat="1" ht="24" customHeight="1">
      <c r="A39" s="248"/>
      <c r="B39" s="756"/>
      <c r="C39" s="703" t="s">
        <v>2601</v>
      </c>
      <c r="D39" s="265"/>
      <c r="E39" s="558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7"/>
      <c r="Q39" s="254">
        <f>Q38</f>
        <v>12356.65</v>
      </c>
    </row>
    <row r="40" spans="1:17" s="168" customFormat="1" ht="28.5" customHeight="1">
      <c r="A40" s="250" t="s">
        <v>15</v>
      </c>
      <c r="B40" s="251"/>
      <c r="C40" s="252" t="s">
        <v>1126</v>
      </c>
      <c r="D40" s="251"/>
      <c r="E40" s="549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4"/>
      <c r="Q40" s="254"/>
    </row>
    <row r="41" spans="1:17" s="168" customFormat="1" ht="28.5" customHeight="1">
      <c r="A41" s="248" t="s">
        <v>1145</v>
      </c>
      <c r="B41" s="249" t="s">
        <v>1776</v>
      </c>
      <c r="C41" s="177" t="s">
        <v>2577</v>
      </c>
      <c r="D41" s="170" t="s">
        <v>3</v>
      </c>
      <c r="E41" s="552"/>
      <c r="F41" s="256"/>
      <c r="G41" s="256"/>
      <c r="H41" s="256"/>
      <c r="I41" s="256"/>
      <c r="J41" s="256"/>
      <c r="K41" s="256"/>
      <c r="L41" s="256"/>
      <c r="M41" s="256"/>
      <c r="N41" s="166">
        <f>40*80*0.5</f>
        <v>1600</v>
      </c>
      <c r="O41" s="166">
        <v>155.33000000000001</v>
      </c>
      <c r="P41" s="994">
        <f>5.22*1.245</f>
        <v>6.4988999999999999</v>
      </c>
      <c r="Q41" s="267">
        <f>TRUNC(O41*P41,2)</f>
        <v>1009.47</v>
      </c>
    </row>
    <row r="42" spans="1:17" s="168" customFormat="1" ht="27" customHeight="1">
      <c r="A42" s="248" t="s">
        <v>1146</v>
      </c>
      <c r="B42" s="249" t="s">
        <v>1122</v>
      </c>
      <c r="C42" s="722" t="s">
        <v>2644</v>
      </c>
      <c r="D42" s="170" t="s">
        <v>3</v>
      </c>
      <c r="E42" s="537">
        <f>11.62*11</f>
        <v>127.82</v>
      </c>
      <c r="F42" s="166"/>
      <c r="G42" s="166"/>
      <c r="H42" s="166">
        <v>40.659999999999997</v>
      </c>
      <c r="I42" s="166"/>
      <c r="J42" s="166">
        <v>7.13</v>
      </c>
      <c r="K42" s="166">
        <v>12.47</v>
      </c>
      <c r="L42" s="166"/>
      <c r="M42" s="166">
        <v>9.8000000000000007</v>
      </c>
      <c r="N42" s="166"/>
      <c r="O42" s="166">
        <v>5.75</v>
      </c>
      <c r="P42" s="994">
        <f>COMPOSIÇÕES!B313</f>
        <v>89.776949999999999</v>
      </c>
      <c r="Q42" s="267">
        <f>TRUNC(O42*P42,2)</f>
        <v>516.21</v>
      </c>
    </row>
    <row r="43" spans="1:17" s="168" customFormat="1" ht="33.75" customHeight="1">
      <c r="A43" s="248" t="s">
        <v>1147</v>
      </c>
      <c r="B43" s="249" t="s">
        <v>1124</v>
      </c>
      <c r="C43" s="177" t="s">
        <v>2684</v>
      </c>
      <c r="D43" s="170" t="s">
        <v>3</v>
      </c>
      <c r="E43" s="537">
        <f>15.1*11</f>
        <v>166.1</v>
      </c>
      <c r="F43" s="166"/>
      <c r="G43" s="166"/>
      <c r="H43" s="166">
        <v>52.85</v>
      </c>
      <c r="I43" s="166"/>
      <c r="J43" s="166">
        <v>9.27</v>
      </c>
      <c r="K43" s="166">
        <v>16.22</v>
      </c>
      <c r="L43" s="166"/>
      <c r="M43" s="166">
        <v>12.74</v>
      </c>
      <c r="N43" s="166"/>
      <c r="O43" s="166">
        <v>57.52</v>
      </c>
      <c r="P43" s="994">
        <f>COMPOSIÇÕES!B428</f>
        <v>23.020050000000001</v>
      </c>
      <c r="Q43" s="267">
        <f>TRUNC(O43*P43,2)</f>
        <v>1324.11</v>
      </c>
    </row>
    <row r="44" spans="1:17" s="168" customFormat="1" ht="23.25" customHeight="1">
      <c r="A44" s="248"/>
      <c r="B44" s="756"/>
      <c r="C44" s="703" t="s">
        <v>2602</v>
      </c>
      <c r="D44" s="227"/>
      <c r="E44" s="547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9"/>
      <c r="Q44" s="260">
        <f>SUM(Q41:Q43)</f>
        <v>2849.79</v>
      </c>
    </row>
    <row r="45" spans="1:17" s="168" customFormat="1" ht="23.25" customHeight="1">
      <c r="A45" s="250" t="s">
        <v>1540</v>
      </c>
      <c r="B45" s="251"/>
      <c r="C45" s="252" t="s">
        <v>1127</v>
      </c>
      <c r="D45" s="227"/>
      <c r="E45" s="547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9"/>
      <c r="Q45" s="229"/>
    </row>
    <row r="46" spans="1:17" s="168" customFormat="1" ht="39.9" customHeight="1">
      <c r="A46" s="248" t="s">
        <v>1542</v>
      </c>
      <c r="B46" s="170" t="s">
        <v>1128</v>
      </c>
      <c r="C46" s="177" t="s">
        <v>1536</v>
      </c>
      <c r="D46" s="170" t="s">
        <v>1553</v>
      </c>
      <c r="E46" s="537">
        <v>1.06</v>
      </c>
      <c r="F46" s="166"/>
      <c r="G46" s="166"/>
      <c r="H46" s="166">
        <v>3.7</v>
      </c>
      <c r="I46" s="166"/>
      <c r="J46" s="166">
        <v>0.65</v>
      </c>
      <c r="K46" s="166">
        <v>1.1299999999999999</v>
      </c>
      <c r="L46" s="166"/>
      <c r="M46" s="166">
        <v>0.89</v>
      </c>
      <c r="N46" s="166"/>
      <c r="O46" s="166">
        <f>12.3*1.05</f>
        <v>12.915000000000001</v>
      </c>
      <c r="P46" s="994">
        <f>COMPOSIÇÕES!B491</f>
        <v>376.66230000000002</v>
      </c>
      <c r="Q46" s="267">
        <f>TRUNC(O46*P46,2)</f>
        <v>4864.59</v>
      </c>
    </row>
    <row r="47" spans="1:17" s="168" customFormat="1" ht="36.75" customHeight="1">
      <c r="A47" s="248" t="s">
        <v>1543</v>
      </c>
      <c r="B47" s="170" t="s">
        <v>1129</v>
      </c>
      <c r="C47" s="177" t="s">
        <v>1547</v>
      </c>
      <c r="D47" s="170" t="s">
        <v>1319</v>
      </c>
      <c r="E47" s="537">
        <v>226.26</v>
      </c>
      <c r="F47" s="166"/>
      <c r="G47" s="166"/>
      <c r="H47" s="166">
        <v>811.24</v>
      </c>
      <c r="I47" s="166"/>
      <c r="J47" s="166">
        <v>161.54</v>
      </c>
      <c r="K47" s="166">
        <v>282.69</v>
      </c>
      <c r="L47" s="166"/>
      <c r="M47" s="166">
        <v>222.12</v>
      </c>
      <c r="N47" s="166"/>
      <c r="O47" s="166">
        <v>31.7</v>
      </c>
      <c r="P47" s="994">
        <f>COMPOSIÇÕES!B615</f>
        <v>11.566049999999999</v>
      </c>
      <c r="Q47" s="267">
        <f>TRUNC(O47*P47,2)</f>
        <v>366.64</v>
      </c>
    </row>
    <row r="48" spans="1:17" s="168" customFormat="1" ht="39" customHeight="1">
      <c r="A48" s="248" t="s">
        <v>1544</v>
      </c>
      <c r="B48" s="170" t="s">
        <v>1130</v>
      </c>
      <c r="C48" s="177" t="s">
        <v>2657</v>
      </c>
      <c r="D48" s="170" t="s">
        <v>3</v>
      </c>
      <c r="E48" s="537">
        <v>10.56</v>
      </c>
      <c r="F48" s="166"/>
      <c r="G48" s="166"/>
      <c r="H48" s="166">
        <v>36.96</v>
      </c>
      <c r="I48" s="166">
        <v>11.6</v>
      </c>
      <c r="J48" s="166">
        <v>6.48</v>
      </c>
      <c r="K48" s="166">
        <v>11.34</v>
      </c>
      <c r="L48" s="166"/>
      <c r="M48" s="166">
        <v>8.91</v>
      </c>
      <c r="N48" s="166"/>
      <c r="O48" s="166">
        <v>26.5</v>
      </c>
      <c r="P48" s="994">
        <f>COMPOSIÇÕES!B680</f>
        <v>411.98294999999996</v>
      </c>
      <c r="Q48" s="267">
        <f>TRUNC(O48*P48,2)</f>
        <v>10917.54</v>
      </c>
    </row>
    <row r="49" spans="1:17" s="168" customFormat="1" ht="39" customHeight="1">
      <c r="A49" s="248" t="s">
        <v>1545</v>
      </c>
      <c r="B49" s="249" t="s">
        <v>2455</v>
      </c>
      <c r="C49" s="177" t="s">
        <v>2658</v>
      </c>
      <c r="D49" s="170" t="s">
        <v>3</v>
      </c>
      <c r="E49" s="550">
        <f>E48</f>
        <v>10.56</v>
      </c>
      <c r="F49" s="175"/>
      <c r="G49" s="175"/>
      <c r="H49" s="175">
        <f>H48</f>
        <v>36.96</v>
      </c>
      <c r="I49" s="175">
        <f>I48</f>
        <v>11.6</v>
      </c>
      <c r="J49" s="175">
        <f>J48</f>
        <v>6.48</v>
      </c>
      <c r="K49" s="175">
        <f>K48</f>
        <v>11.34</v>
      </c>
      <c r="L49" s="175"/>
      <c r="M49" s="175">
        <f>M48</f>
        <v>8.91</v>
      </c>
      <c r="N49" s="175"/>
      <c r="O49" s="166">
        <v>26.5</v>
      </c>
      <c r="P49" s="995">
        <f>COMPOSIÇÕES!B698</f>
        <v>130.27680000000001</v>
      </c>
      <c r="Q49" s="267">
        <f>TRUNC(O49*P49,2)</f>
        <v>3452.33</v>
      </c>
    </row>
    <row r="50" spans="1:17" s="168" customFormat="1" ht="34.5" customHeight="1">
      <c r="A50" s="248" t="s">
        <v>2963</v>
      </c>
      <c r="B50" s="1076" t="s">
        <v>2965</v>
      </c>
      <c r="C50" s="177" t="s">
        <v>2964</v>
      </c>
      <c r="D50" s="170" t="s">
        <v>3</v>
      </c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>
        <v>45</v>
      </c>
      <c r="P50" s="1015">
        <f>69.6*1.245</f>
        <v>86.652000000000001</v>
      </c>
      <c r="Q50" s="999">
        <f>TRUNC(O50*P50,2)</f>
        <v>3899.34</v>
      </c>
    </row>
    <row r="51" spans="1:17" s="168" customFormat="1" ht="27.75" customHeight="1">
      <c r="A51" s="248"/>
      <c r="B51" s="756"/>
      <c r="C51" s="711" t="s">
        <v>2600</v>
      </c>
      <c r="D51" s="265"/>
      <c r="E51" s="558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7"/>
      <c r="Q51" s="254">
        <f>SUM(Q46:Q50)</f>
        <v>23500.44</v>
      </c>
    </row>
    <row r="52" spans="1:17" s="168" customFormat="1" ht="32.25" customHeight="1">
      <c r="A52" s="250" t="s">
        <v>1950</v>
      </c>
      <c r="B52" s="251"/>
      <c r="C52" s="252" t="s">
        <v>1951</v>
      </c>
      <c r="D52" s="227"/>
      <c r="E52" s="547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9"/>
      <c r="Q52" s="229"/>
    </row>
    <row r="53" spans="1:17" s="168" customFormat="1" ht="34.5" customHeight="1">
      <c r="A53" s="162" t="s">
        <v>1959</v>
      </c>
      <c r="B53" s="249" t="s">
        <v>447</v>
      </c>
      <c r="C53" s="177" t="s">
        <v>2048</v>
      </c>
      <c r="D53" s="170" t="s">
        <v>3</v>
      </c>
      <c r="E53" s="537"/>
      <c r="F53" s="166"/>
      <c r="G53" s="166"/>
      <c r="H53" s="166"/>
      <c r="I53" s="166"/>
      <c r="J53" s="166"/>
      <c r="K53" s="166"/>
      <c r="L53" s="166"/>
      <c r="M53" s="166"/>
      <c r="N53" s="166" t="e">
        <f>#REF!</f>
        <v>#REF!</v>
      </c>
      <c r="O53" s="166">
        <v>33.89</v>
      </c>
      <c r="P53" s="994">
        <f>COMPOSIÇÕES!B296</f>
        <v>78.347849999999994</v>
      </c>
      <c r="Q53" s="999">
        <f t="shared" ref="Q53:Q62" si="3">TRUNC(O53*P53,2)</f>
        <v>2655.2</v>
      </c>
    </row>
    <row r="54" spans="1:17" s="168" customFormat="1" ht="52.5" customHeight="1">
      <c r="A54" s="162" t="s">
        <v>1960</v>
      </c>
      <c r="B54" s="249" t="s">
        <v>1952</v>
      </c>
      <c r="C54" s="177" t="s">
        <v>2685</v>
      </c>
      <c r="D54" s="170" t="s">
        <v>3</v>
      </c>
      <c r="E54" s="537"/>
      <c r="F54" s="166"/>
      <c r="G54" s="166"/>
      <c r="H54" s="166"/>
      <c r="I54" s="166"/>
      <c r="J54" s="166"/>
      <c r="K54" s="166"/>
      <c r="L54" s="166"/>
      <c r="M54" s="166"/>
      <c r="N54" s="166" t="e">
        <f>#REF!</f>
        <v>#REF!</v>
      </c>
      <c r="O54" s="166">
        <v>3.68</v>
      </c>
      <c r="P54" s="994">
        <f>COMPOSIÇÕES!B450</f>
        <v>281.25794999999994</v>
      </c>
      <c r="Q54" s="999">
        <f t="shared" si="3"/>
        <v>1035.02</v>
      </c>
    </row>
    <row r="55" spans="1:17" s="168" customFormat="1" ht="25.5" customHeight="1">
      <c r="A55" s="162" t="s">
        <v>1961</v>
      </c>
      <c r="B55" s="249" t="s">
        <v>1953</v>
      </c>
      <c r="C55" s="177" t="s">
        <v>2662</v>
      </c>
      <c r="D55" s="170" t="s">
        <v>12</v>
      </c>
      <c r="E55" s="537"/>
      <c r="F55" s="166"/>
      <c r="G55" s="166"/>
      <c r="H55" s="166"/>
      <c r="I55" s="166"/>
      <c r="J55" s="166"/>
      <c r="K55" s="166"/>
      <c r="L55" s="166"/>
      <c r="M55" s="166"/>
      <c r="N55" s="166" t="e">
        <f>#REF!</f>
        <v>#REF!</v>
      </c>
      <c r="O55" s="166">
        <v>300</v>
      </c>
      <c r="P55" s="994">
        <f>COMPOSIÇÕES!B523</f>
        <v>9.9724500000000003</v>
      </c>
      <c r="Q55" s="999">
        <f t="shared" si="3"/>
        <v>2991.73</v>
      </c>
    </row>
    <row r="56" spans="1:17" s="168" customFormat="1" ht="36.75" customHeight="1">
      <c r="A56" s="162" t="s">
        <v>1962</v>
      </c>
      <c r="B56" s="249" t="s">
        <v>1954</v>
      </c>
      <c r="C56" s="177" t="s">
        <v>2686</v>
      </c>
      <c r="D56" s="170" t="s">
        <v>4</v>
      </c>
      <c r="E56" s="537"/>
      <c r="F56" s="166"/>
      <c r="G56" s="166"/>
      <c r="H56" s="166"/>
      <c r="I56" s="166"/>
      <c r="J56" s="166"/>
      <c r="K56" s="166"/>
      <c r="L56" s="166"/>
      <c r="M56" s="166"/>
      <c r="N56" s="166" t="e">
        <f>#REF!</f>
        <v>#REF!</v>
      </c>
      <c r="O56" s="166">
        <v>150</v>
      </c>
      <c r="P56" s="994">
        <f>COMPOSIÇÕES!B541</f>
        <v>64.677750000000003</v>
      </c>
      <c r="Q56" s="999">
        <f t="shared" si="3"/>
        <v>9701.66</v>
      </c>
    </row>
    <row r="57" spans="1:17" s="168" customFormat="1" ht="36.75" customHeight="1">
      <c r="A57" s="162" t="s">
        <v>1963</v>
      </c>
      <c r="B57" s="249" t="s">
        <v>1956</v>
      </c>
      <c r="C57" s="177" t="s">
        <v>2665</v>
      </c>
      <c r="D57" s="170" t="s">
        <v>4</v>
      </c>
      <c r="E57" s="537"/>
      <c r="F57" s="166"/>
      <c r="G57" s="166"/>
      <c r="H57" s="166"/>
      <c r="I57" s="166"/>
      <c r="J57" s="166"/>
      <c r="K57" s="166"/>
      <c r="L57" s="166"/>
      <c r="M57" s="166"/>
      <c r="N57" s="166" t="e">
        <f>#REF!</f>
        <v>#REF!</v>
      </c>
      <c r="O57" s="166">
        <v>170</v>
      </c>
      <c r="P57" s="994">
        <f>COMPOSIÇÕES!B559</f>
        <v>51.679949999999998</v>
      </c>
      <c r="Q57" s="999">
        <f t="shared" si="3"/>
        <v>8785.59</v>
      </c>
    </row>
    <row r="58" spans="1:17" s="168" customFormat="1" ht="32.25" customHeight="1">
      <c r="A58" s="162" t="s">
        <v>1964</v>
      </c>
      <c r="B58" s="249" t="s">
        <v>1957</v>
      </c>
      <c r="C58" s="177" t="s">
        <v>1958</v>
      </c>
      <c r="D58" s="170" t="s">
        <v>438</v>
      </c>
      <c r="E58" s="537"/>
      <c r="F58" s="166"/>
      <c r="G58" s="166"/>
      <c r="H58" s="166"/>
      <c r="I58" s="166"/>
      <c r="J58" s="166"/>
      <c r="K58" s="166"/>
      <c r="L58" s="166"/>
      <c r="M58" s="166"/>
      <c r="N58" s="166" t="e">
        <f>#REF!</f>
        <v>#REF!</v>
      </c>
      <c r="O58" s="166">
        <v>12.2</v>
      </c>
      <c r="P58" s="994">
        <f>COMPOSIÇÕES!B575</f>
        <v>143.71035000000001</v>
      </c>
      <c r="Q58" s="999">
        <f t="shared" si="3"/>
        <v>1753.26</v>
      </c>
    </row>
    <row r="59" spans="1:17" s="168" customFormat="1" ht="26.25" customHeight="1">
      <c r="A59" s="162" t="s">
        <v>1965</v>
      </c>
      <c r="B59" s="249" t="s">
        <v>1123</v>
      </c>
      <c r="C59" s="177" t="s">
        <v>1955</v>
      </c>
      <c r="D59" s="170" t="s">
        <v>438</v>
      </c>
      <c r="E59" s="537"/>
      <c r="F59" s="166"/>
      <c r="G59" s="166"/>
      <c r="H59" s="166"/>
      <c r="I59" s="166"/>
      <c r="J59" s="166"/>
      <c r="K59" s="166"/>
      <c r="L59" s="166"/>
      <c r="M59" s="166"/>
      <c r="N59" s="166" t="e">
        <f>#REF!</f>
        <v>#REF!</v>
      </c>
      <c r="O59" s="166">
        <v>4.45</v>
      </c>
      <c r="P59" s="994">
        <f>COMPOSIÇÕES!B328</f>
        <v>47.496749999999999</v>
      </c>
      <c r="Q59" s="999">
        <f t="shared" si="3"/>
        <v>211.36</v>
      </c>
    </row>
    <row r="60" spans="1:17" s="168" customFormat="1" ht="26.25" customHeight="1">
      <c r="A60" s="162" t="s">
        <v>1966</v>
      </c>
      <c r="B60" s="249" t="s">
        <v>1124</v>
      </c>
      <c r="C60" s="177" t="s">
        <v>2646</v>
      </c>
      <c r="D60" s="170" t="s">
        <v>438</v>
      </c>
      <c r="E60" s="537"/>
      <c r="F60" s="166"/>
      <c r="G60" s="166"/>
      <c r="H60" s="166"/>
      <c r="I60" s="166"/>
      <c r="J60" s="166"/>
      <c r="K60" s="166"/>
      <c r="L60" s="166"/>
      <c r="M60" s="166"/>
      <c r="N60" s="166" t="e">
        <f>#REF!</f>
        <v>#REF!</v>
      </c>
      <c r="O60" s="166">
        <v>27.74</v>
      </c>
      <c r="P60" s="994">
        <f>COMPOSIÇÕES!B428</f>
        <v>23.020050000000001</v>
      </c>
      <c r="Q60" s="999">
        <f t="shared" si="3"/>
        <v>638.57000000000005</v>
      </c>
    </row>
    <row r="61" spans="1:17" s="168" customFormat="1" ht="41.25" customHeight="1">
      <c r="A61" s="162" t="s">
        <v>2967</v>
      </c>
      <c r="B61" s="249" t="s">
        <v>3272</v>
      </c>
      <c r="C61" s="177" t="s">
        <v>3271</v>
      </c>
      <c r="D61" s="170" t="s">
        <v>2713</v>
      </c>
      <c r="E61" s="537"/>
      <c r="F61" s="166"/>
      <c r="G61" s="166"/>
      <c r="H61" s="166"/>
      <c r="I61" s="166"/>
      <c r="J61" s="166"/>
      <c r="K61" s="166"/>
      <c r="L61" s="166"/>
      <c r="M61" s="166"/>
      <c r="N61" s="166"/>
      <c r="O61" s="166">
        <v>1</v>
      </c>
      <c r="P61" s="994">
        <f>COMPOSIÇÕES!B392</f>
        <v>861.48616869</v>
      </c>
      <c r="Q61" s="999">
        <f t="shared" si="3"/>
        <v>861.48</v>
      </c>
    </row>
    <row r="62" spans="1:17" s="168" customFormat="1" ht="36.75" customHeight="1">
      <c r="A62" s="162" t="s">
        <v>2968</v>
      </c>
      <c r="B62" s="249" t="s">
        <v>2966</v>
      </c>
      <c r="C62" s="177" t="s">
        <v>2969</v>
      </c>
      <c r="D62" s="170" t="s">
        <v>2713</v>
      </c>
      <c r="O62" s="166">
        <v>1</v>
      </c>
      <c r="P62" s="1000">
        <f>COMPOSIÇÕES!B411</f>
        <v>428.45429999999999</v>
      </c>
      <c r="Q62" s="999">
        <f t="shared" si="3"/>
        <v>428.45</v>
      </c>
    </row>
    <row r="63" spans="1:17" s="168" customFormat="1" ht="25.5" customHeight="1">
      <c r="A63" s="248"/>
      <c r="B63" s="227"/>
      <c r="C63" s="703" t="s">
        <v>2599</v>
      </c>
      <c r="D63" s="227"/>
      <c r="E63" s="558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7"/>
      <c r="Q63" s="254">
        <f>SUM(Q53:Q62)</f>
        <v>29062.32</v>
      </c>
    </row>
    <row r="64" spans="1:17" s="160" customFormat="1" ht="26.25" customHeight="1">
      <c r="A64" s="210"/>
      <c r="B64" s="235"/>
      <c r="C64" s="243" t="s">
        <v>13</v>
      </c>
      <c r="D64" s="235" t="s">
        <v>2</v>
      </c>
      <c r="E64" s="548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7"/>
      <c r="Q64" s="237">
        <f>Q63+Q51+Q44+Q39</f>
        <v>67769.2</v>
      </c>
    </row>
    <row r="65" spans="1:28" s="160" customFormat="1" ht="13.5" customHeight="1">
      <c r="A65" s="238"/>
      <c r="B65" s="239"/>
      <c r="C65" s="245"/>
      <c r="D65" s="239"/>
      <c r="E65" s="551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7"/>
      <c r="Q65" s="979"/>
    </row>
    <row r="66" spans="1:28" s="160" customFormat="1" ht="25.5" customHeight="1">
      <c r="A66" s="210" t="s">
        <v>26</v>
      </c>
      <c r="B66" s="235"/>
      <c r="C66" s="497" t="s">
        <v>1131</v>
      </c>
      <c r="D66" s="235" t="s">
        <v>2</v>
      </c>
      <c r="E66" s="548" t="s">
        <v>2045</v>
      </c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7" t="s">
        <v>0</v>
      </c>
      <c r="Q66" s="237"/>
    </row>
    <row r="67" spans="1:28" s="160" customFormat="1" ht="25.5" customHeight="1">
      <c r="A67" s="162" t="s">
        <v>9</v>
      </c>
      <c r="B67" s="249" t="s">
        <v>1739</v>
      </c>
      <c r="C67" s="1016" t="s">
        <v>2670</v>
      </c>
      <c r="D67" s="186" t="s">
        <v>102</v>
      </c>
      <c r="E67" s="566">
        <f>8179*11</f>
        <v>89969</v>
      </c>
      <c r="F67" s="182"/>
      <c r="G67" s="182"/>
      <c r="H67" s="182">
        <f>27582+(2713/3)</f>
        <v>28486.333333333332</v>
      </c>
      <c r="I67" s="182">
        <v>4132</v>
      </c>
      <c r="J67" s="182">
        <v>2713</v>
      </c>
      <c r="K67" s="182">
        <v>5273</v>
      </c>
      <c r="L67" s="182">
        <v>2104</v>
      </c>
      <c r="M67" s="182">
        <v>3514</v>
      </c>
      <c r="N67" s="185"/>
      <c r="O67" s="185">
        <v>11500</v>
      </c>
      <c r="P67" s="994">
        <f>COMPOSIÇÕES!C717</f>
        <v>6.18</v>
      </c>
      <c r="Q67" s="999">
        <f>TRUNC(O67*P67,2)</f>
        <v>71070</v>
      </c>
    </row>
    <row r="68" spans="1:28" s="160" customFormat="1" ht="39.9" customHeight="1">
      <c r="A68" s="162" t="s">
        <v>2974</v>
      </c>
      <c r="B68" s="249" t="s">
        <v>1739</v>
      </c>
      <c r="C68" s="190" t="s">
        <v>2972</v>
      </c>
      <c r="D68" s="187" t="s">
        <v>102</v>
      </c>
      <c r="E68" s="537"/>
      <c r="F68" s="166"/>
      <c r="G68" s="166"/>
      <c r="H68" s="166"/>
      <c r="I68" s="166"/>
      <c r="J68" s="166"/>
      <c r="K68" s="166"/>
      <c r="L68" s="166"/>
      <c r="M68" s="166"/>
      <c r="N68" s="166"/>
      <c r="O68" s="166">
        <v>1089.9000000000001</v>
      </c>
      <c r="P68" s="994">
        <f>COMPOSIÇÕES!C718</f>
        <v>8.2899999999999991</v>
      </c>
      <c r="Q68" s="999">
        <f>TRUNC(O68*P68,2)</f>
        <v>9035.27</v>
      </c>
    </row>
    <row r="69" spans="1:28" s="160" customFormat="1" ht="23.25" customHeight="1">
      <c r="A69" s="210"/>
      <c r="B69" s="235"/>
      <c r="C69" s="243" t="s">
        <v>1132</v>
      </c>
      <c r="D69" s="235" t="s">
        <v>2</v>
      </c>
      <c r="E69" s="548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7"/>
      <c r="Q69" s="237">
        <f>SUM(Q67:Q68)</f>
        <v>80105.27</v>
      </c>
      <c r="AB69" s="773"/>
    </row>
    <row r="70" spans="1:28" s="160" customFormat="1" ht="12.75" customHeight="1">
      <c r="A70" s="209"/>
      <c r="B70" s="225"/>
      <c r="C70" s="258"/>
      <c r="D70" s="225"/>
      <c r="E70" s="553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60"/>
      <c r="Q70" s="260"/>
    </row>
    <row r="71" spans="1:28" s="160" customFormat="1" ht="20.25" customHeight="1">
      <c r="A71" s="210" t="s">
        <v>27</v>
      </c>
      <c r="B71" s="235"/>
      <c r="C71" s="212" t="s">
        <v>2481</v>
      </c>
      <c r="D71" s="235" t="s">
        <v>2</v>
      </c>
      <c r="E71" s="548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7" t="s">
        <v>0</v>
      </c>
      <c r="Q71" s="237"/>
    </row>
    <row r="72" spans="1:28" s="160" customFormat="1" ht="22.5" customHeight="1">
      <c r="A72" s="209" t="s">
        <v>10</v>
      </c>
      <c r="B72" s="225"/>
      <c r="C72" s="206" t="s">
        <v>2480</v>
      </c>
      <c r="D72" s="225"/>
      <c r="E72" s="554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2"/>
      <c r="Q72" s="260"/>
      <c r="AA72" s="773"/>
    </row>
    <row r="73" spans="1:28" s="160" customFormat="1" ht="31.5" customHeight="1">
      <c r="A73" s="162" t="s">
        <v>1135</v>
      </c>
      <c r="B73" s="770" t="s">
        <v>2578</v>
      </c>
      <c r="C73" s="177" t="s">
        <v>2976</v>
      </c>
      <c r="D73" s="170" t="s">
        <v>12</v>
      </c>
      <c r="E73" s="576">
        <v>190.37</v>
      </c>
      <c r="F73" s="522"/>
      <c r="G73" s="522"/>
      <c r="H73" s="522">
        <v>49.53</v>
      </c>
      <c r="I73" s="522"/>
      <c r="J73" s="522"/>
      <c r="K73" s="522"/>
      <c r="L73" s="522"/>
      <c r="M73" s="522"/>
      <c r="N73" s="522"/>
      <c r="O73" s="522">
        <v>165.17</v>
      </c>
      <c r="P73" s="1001">
        <f>COMPOSIÇÕES!C945</f>
        <v>163.72</v>
      </c>
      <c r="Q73" s="999">
        <f>TRUNC(O73*P73,2)</f>
        <v>27041.63</v>
      </c>
    </row>
    <row r="74" spans="1:28" s="160" customFormat="1" ht="31.5" customHeight="1">
      <c r="A74" s="162" t="s">
        <v>2978</v>
      </c>
      <c r="B74" s="770" t="s">
        <v>2578</v>
      </c>
      <c r="C74" s="177" t="s">
        <v>2977</v>
      </c>
      <c r="D74" s="170" t="s">
        <v>12</v>
      </c>
      <c r="E74" s="576"/>
      <c r="F74" s="522"/>
      <c r="G74" s="522"/>
      <c r="H74" s="522"/>
      <c r="I74" s="522"/>
      <c r="J74" s="522"/>
      <c r="K74" s="522"/>
      <c r="L74" s="522"/>
      <c r="M74" s="522"/>
      <c r="N74" s="522"/>
      <c r="O74" s="522">
        <v>223.1</v>
      </c>
      <c r="P74" s="1001">
        <f>COMPOSIÇÕES!C946</f>
        <v>133.94999999999999</v>
      </c>
      <c r="Q74" s="999">
        <f>TRUNC(O74*P74,2)</f>
        <v>29884.240000000002</v>
      </c>
    </row>
    <row r="75" spans="1:28" s="160" customFormat="1" ht="24" customHeight="1">
      <c r="A75" s="752"/>
      <c r="B75" s="753"/>
      <c r="C75" s="703" t="s">
        <v>2598</v>
      </c>
      <c r="D75" s="753"/>
      <c r="E75" s="754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755"/>
      <c r="Q75" s="982">
        <f>SUM(Q73:Q74)</f>
        <v>56925.87</v>
      </c>
    </row>
    <row r="76" spans="1:28" s="160" customFormat="1" ht="22.5" customHeight="1">
      <c r="A76" s="270" t="s">
        <v>1136</v>
      </c>
      <c r="B76" s="271"/>
      <c r="C76" s="272" t="s">
        <v>1133</v>
      </c>
      <c r="D76" s="271"/>
      <c r="E76" s="556"/>
      <c r="F76" s="273"/>
      <c r="G76" s="273"/>
      <c r="H76" s="273"/>
      <c r="I76" s="273"/>
      <c r="J76" s="701">
        <f>0.8*2.1</f>
        <v>1.6800000000000002</v>
      </c>
      <c r="K76" s="701"/>
      <c r="L76" s="701" t="e">
        <f>#REF!/J76</f>
        <v>#REF!</v>
      </c>
      <c r="M76" s="273"/>
      <c r="N76" s="273"/>
      <c r="O76" s="525"/>
      <c r="P76" s="274"/>
      <c r="Q76" s="982"/>
    </row>
    <row r="77" spans="1:28" s="160" customFormat="1" ht="30" customHeight="1">
      <c r="A77" s="162" t="s">
        <v>1137</v>
      </c>
      <c r="B77" s="249" t="s">
        <v>2384</v>
      </c>
      <c r="C77" s="177" t="s">
        <v>2329</v>
      </c>
      <c r="D77" s="170" t="s">
        <v>112</v>
      </c>
      <c r="E77" s="537">
        <v>4.41</v>
      </c>
      <c r="F77" s="166"/>
      <c r="G77" s="166">
        <v>0.4</v>
      </c>
      <c r="H77" s="166">
        <v>0.4</v>
      </c>
      <c r="I77" s="166"/>
      <c r="J77" s="166"/>
      <c r="K77" s="166"/>
      <c r="L77" s="166"/>
      <c r="M77" s="166"/>
      <c r="N77" s="166"/>
      <c r="O77" s="189">
        <v>5.21</v>
      </c>
      <c r="P77" s="994">
        <f>COMPOSIÇÕES!B173</f>
        <v>4367.0740499999993</v>
      </c>
      <c r="Q77" s="999">
        <f>TRUNC(O77*P77,2)</f>
        <v>22752.45</v>
      </c>
    </row>
    <row r="78" spans="1:28" s="160" customFormat="1" ht="20.25" customHeight="1">
      <c r="A78" s="263"/>
      <c r="B78" s="704"/>
      <c r="C78" s="703" t="s">
        <v>2597</v>
      </c>
      <c r="D78" s="227"/>
      <c r="E78" s="547"/>
      <c r="F78" s="228"/>
      <c r="G78" s="228"/>
      <c r="H78" s="228"/>
      <c r="I78" s="228"/>
      <c r="J78" s="228"/>
      <c r="K78" s="228"/>
      <c r="L78" s="228"/>
      <c r="M78" s="228"/>
      <c r="N78" s="228"/>
      <c r="O78" s="751"/>
      <c r="P78" s="229"/>
      <c r="Q78" s="260">
        <f>SUM(Q77:Q77)</f>
        <v>22752.45</v>
      </c>
    </row>
    <row r="79" spans="1:28" s="160" customFormat="1" ht="22.5" customHeight="1">
      <c r="A79" s="209" t="s">
        <v>1138</v>
      </c>
      <c r="B79" s="225"/>
      <c r="C79" s="206" t="s">
        <v>1134</v>
      </c>
      <c r="D79" s="225"/>
      <c r="E79" s="554"/>
      <c r="F79" s="261"/>
      <c r="G79" s="261"/>
      <c r="H79" s="554"/>
      <c r="I79" s="261"/>
      <c r="J79" s="261"/>
      <c r="K79" s="261"/>
      <c r="L79" s="261"/>
      <c r="M79" s="261"/>
      <c r="N79" s="261"/>
      <c r="O79" s="524"/>
      <c r="P79" s="262"/>
      <c r="Q79" s="260"/>
    </row>
    <row r="80" spans="1:28" s="160" customFormat="1" ht="18" customHeight="1">
      <c r="A80" s="263" t="s">
        <v>2515</v>
      </c>
      <c r="B80" s="170" t="s">
        <v>2512</v>
      </c>
      <c r="C80" s="177" t="s">
        <v>2507</v>
      </c>
      <c r="D80" s="170" t="s">
        <v>12</v>
      </c>
      <c r="E80" s="555"/>
      <c r="F80" s="257"/>
      <c r="G80" s="257"/>
      <c r="H80" s="522">
        <f>2.4*3</f>
        <v>7.1999999999999993</v>
      </c>
      <c r="I80" s="257"/>
      <c r="J80" s="257"/>
      <c r="K80" s="257"/>
      <c r="L80" s="257"/>
      <c r="M80" s="257"/>
      <c r="N80" s="257"/>
      <c r="O80" s="522">
        <v>7.2</v>
      </c>
      <c r="P80" s="1001">
        <f>COMPOSIÇÕES!B1337</f>
        <v>697.22490000000016</v>
      </c>
      <c r="Q80" s="999">
        <f>TRUNC(O80*P80,2)</f>
        <v>5020.01</v>
      </c>
    </row>
    <row r="81" spans="1:24" s="160" customFormat="1" ht="18" customHeight="1">
      <c r="A81" s="263"/>
      <c r="B81" s="227"/>
      <c r="C81" s="703" t="s">
        <v>2595</v>
      </c>
      <c r="D81" s="227"/>
      <c r="E81" s="554"/>
      <c r="F81" s="261"/>
      <c r="G81" s="261"/>
      <c r="H81" s="702"/>
      <c r="I81" s="261"/>
      <c r="J81" s="261"/>
      <c r="K81" s="261"/>
      <c r="L81" s="261"/>
      <c r="M81" s="261"/>
      <c r="N81" s="261"/>
      <c r="O81" s="524"/>
      <c r="P81" s="706"/>
      <c r="Q81" s="260">
        <f>SUM(Q80:Q80)</f>
        <v>5020.01</v>
      </c>
    </row>
    <row r="82" spans="1:24" s="160" customFormat="1" ht="22.5" customHeight="1">
      <c r="A82" s="210"/>
      <c r="B82" s="235"/>
      <c r="C82" s="243" t="s">
        <v>1139</v>
      </c>
      <c r="D82" s="235" t="s">
        <v>2</v>
      </c>
      <c r="E82" s="548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7"/>
      <c r="Q82" s="237">
        <f>Q81+Q78+Q75</f>
        <v>84698.33</v>
      </c>
    </row>
    <row r="83" spans="1:24" s="160" customFormat="1" ht="12" customHeight="1">
      <c r="A83" s="263"/>
      <c r="B83" s="225"/>
      <c r="C83" s="206"/>
      <c r="D83" s="225"/>
      <c r="E83" s="554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2"/>
      <c r="Q83" s="260"/>
    </row>
    <row r="84" spans="1:24" s="160" customFormat="1" ht="22.5" customHeight="1">
      <c r="A84" s="210" t="s">
        <v>28</v>
      </c>
      <c r="B84" s="235"/>
      <c r="C84" s="212" t="s">
        <v>1140</v>
      </c>
      <c r="D84" s="235" t="s">
        <v>2</v>
      </c>
      <c r="E84" s="548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7" t="s">
        <v>0</v>
      </c>
      <c r="Q84" s="237"/>
    </row>
    <row r="85" spans="1:24" s="160" customFormat="1" ht="52.5" customHeight="1">
      <c r="A85" s="263" t="s">
        <v>16</v>
      </c>
      <c r="B85" s="170" t="s">
        <v>2634</v>
      </c>
      <c r="C85" s="190" t="s">
        <v>2979</v>
      </c>
      <c r="D85" s="191" t="s">
        <v>1487</v>
      </c>
      <c r="E85" s="557">
        <f>211.2*11</f>
        <v>2323.1999999999998</v>
      </c>
      <c r="F85" s="192"/>
      <c r="G85" s="192"/>
      <c r="H85" s="192">
        <v>737</v>
      </c>
      <c r="I85" s="192"/>
      <c r="J85" s="192"/>
      <c r="K85" s="192"/>
      <c r="L85" s="192"/>
      <c r="M85" s="192"/>
      <c r="N85" s="192"/>
      <c r="O85" s="192">
        <v>2345</v>
      </c>
      <c r="P85" s="995">
        <f>COMPOSIÇÕES!B744</f>
        <v>218.53485000000001</v>
      </c>
      <c r="Q85" s="999">
        <f t="shared" ref="Q85:Q92" si="4">TRUNC(O85*P85,2)</f>
        <v>512464.22</v>
      </c>
    </row>
    <row r="86" spans="1:24" s="160" customFormat="1" ht="25.5" customHeight="1">
      <c r="A86" s="263" t="s">
        <v>131</v>
      </c>
      <c r="B86" s="170" t="s">
        <v>2047</v>
      </c>
      <c r="C86" s="190" t="s">
        <v>2123</v>
      </c>
      <c r="D86" s="165" t="s">
        <v>391</v>
      </c>
      <c r="E86" s="557">
        <f>16*11</f>
        <v>176</v>
      </c>
      <c r="F86" s="192"/>
      <c r="G86" s="192"/>
      <c r="H86" s="192">
        <v>55</v>
      </c>
      <c r="I86" s="192"/>
      <c r="J86" s="192"/>
      <c r="K86" s="192"/>
      <c r="L86" s="192"/>
      <c r="M86" s="192"/>
      <c r="N86" s="192"/>
      <c r="O86" s="192">
        <v>199</v>
      </c>
      <c r="P86" s="995">
        <f>COMPOSIÇÕES!B901</f>
        <v>41.59545</v>
      </c>
      <c r="Q86" s="999">
        <f t="shared" si="4"/>
        <v>8277.49</v>
      </c>
    </row>
    <row r="87" spans="1:24" s="160" customFormat="1" ht="33.75" customHeight="1">
      <c r="A87" s="263" t="s">
        <v>1142</v>
      </c>
      <c r="B87" s="170" t="s">
        <v>1906</v>
      </c>
      <c r="C87" s="1013" t="s">
        <v>3267</v>
      </c>
      <c r="D87" s="170" t="s">
        <v>3269</v>
      </c>
      <c r="E87" s="576" t="e">
        <f>#REF!</f>
        <v>#REF!</v>
      </c>
      <c r="F87" s="522"/>
      <c r="G87" s="522" t="e">
        <f>#REF!</f>
        <v>#REF!</v>
      </c>
      <c r="H87" s="522" t="e">
        <f>#REF!</f>
        <v>#REF!</v>
      </c>
      <c r="I87" s="192"/>
      <c r="J87" s="192"/>
      <c r="K87" s="192"/>
      <c r="L87" s="192"/>
      <c r="M87" s="192"/>
      <c r="N87" s="192"/>
      <c r="O87" s="1044">
        <v>9513</v>
      </c>
      <c r="P87" s="1075">
        <f>COMPOSIÇÕES!B801</f>
        <v>21.02805</v>
      </c>
      <c r="Q87" s="999">
        <f t="shared" si="4"/>
        <v>200039.83</v>
      </c>
    </row>
    <row r="88" spans="1:24" s="160" customFormat="1" ht="18" customHeight="1">
      <c r="A88" s="263" t="s">
        <v>1143</v>
      </c>
      <c r="B88" s="170" t="s">
        <v>1908</v>
      </c>
      <c r="C88" s="269" t="s">
        <v>1899</v>
      </c>
      <c r="D88" s="170" t="s">
        <v>4</v>
      </c>
      <c r="E88" s="581" t="e">
        <f>#REF!</f>
        <v>#REF!</v>
      </c>
      <c r="F88" s="582"/>
      <c r="G88" s="582" t="e">
        <f>#REF!</f>
        <v>#REF!</v>
      </c>
      <c r="H88" s="582" t="e">
        <f>#REF!</f>
        <v>#REF!</v>
      </c>
      <c r="I88" s="275"/>
      <c r="J88" s="275"/>
      <c r="K88" s="275"/>
      <c r="L88" s="275"/>
      <c r="M88" s="539"/>
      <c r="N88" s="539"/>
      <c r="O88" s="192">
        <v>1281.03</v>
      </c>
      <c r="P88" s="1001">
        <f>COMPOSIÇÕES!B819</f>
        <v>8.0924999999999994</v>
      </c>
      <c r="Q88" s="999">
        <f t="shared" si="4"/>
        <v>10366.73</v>
      </c>
    </row>
    <row r="89" spans="1:24" s="160" customFormat="1" ht="18" customHeight="1">
      <c r="A89" s="263" t="s">
        <v>132</v>
      </c>
      <c r="B89" s="170" t="s">
        <v>2346</v>
      </c>
      <c r="C89" s="177" t="s">
        <v>1901</v>
      </c>
      <c r="D89" s="170" t="s">
        <v>1791</v>
      </c>
      <c r="E89" s="576" t="e">
        <f>#REF!</f>
        <v>#REF!</v>
      </c>
      <c r="F89" s="522"/>
      <c r="G89" s="522" t="e">
        <f>#REF!</f>
        <v>#REF!</v>
      </c>
      <c r="H89" s="522" t="e">
        <f>#REF!</f>
        <v>#REF!</v>
      </c>
      <c r="I89" s="257"/>
      <c r="J89" s="257"/>
      <c r="K89" s="257"/>
      <c r="L89" s="257"/>
      <c r="M89" s="257"/>
      <c r="N89" s="542"/>
      <c r="O89" s="192">
        <v>226</v>
      </c>
      <c r="P89" s="1001">
        <f>COMPOSIÇÕES!B837</f>
        <v>25.522500000000001</v>
      </c>
      <c r="Q89" s="999">
        <f t="shared" si="4"/>
        <v>5768.08</v>
      </c>
    </row>
    <row r="90" spans="1:24" s="160" customFormat="1" ht="18" customHeight="1">
      <c r="A90" s="263" t="s">
        <v>1900</v>
      </c>
      <c r="B90" s="170" t="s">
        <v>2538</v>
      </c>
      <c r="C90" s="177" t="s">
        <v>2541</v>
      </c>
      <c r="D90" s="170" t="s">
        <v>1487</v>
      </c>
      <c r="E90" s="576"/>
      <c r="F90" s="522"/>
      <c r="G90" s="522"/>
      <c r="H90" s="522"/>
      <c r="I90" s="257"/>
      <c r="J90" s="522">
        <f>27.53*3.66</f>
        <v>100.75980000000001</v>
      </c>
      <c r="K90" s="522">
        <f>31.75*3.66</f>
        <v>116.205</v>
      </c>
      <c r="L90" s="522"/>
      <c r="M90" s="522">
        <f>31.77*3.66</f>
        <v>116.2782</v>
      </c>
      <c r="N90" s="714"/>
      <c r="O90" s="192">
        <v>333.24</v>
      </c>
      <c r="P90" s="1001">
        <f>COMPOSIÇÕES!B764</f>
        <v>61.191749999999999</v>
      </c>
      <c r="Q90" s="999">
        <f t="shared" si="4"/>
        <v>20391.53</v>
      </c>
    </row>
    <row r="91" spans="1:24" s="160" customFormat="1" ht="18" customHeight="1">
      <c r="A91" s="263" t="s">
        <v>2529</v>
      </c>
      <c r="B91" s="170" t="s">
        <v>2543</v>
      </c>
      <c r="C91" s="1013" t="s">
        <v>2528</v>
      </c>
      <c r="D91" s="1039" t="s">
        <v>391</v>
      </c>
      <c r="E91" s="1040"/>
      <c r="F91" s="1041"/>
      <c r="G91" s="1041"/>
      <c r="H91" s="1041"/>
      <c r="I91" s="1042"/>
      <c r="J91" s="1041">
        <f>7*21*3</f>
        <v>441</v>
      </c>
      <c r="K91" s="1041">
        <f>7*21*3</f>
        <v>441</v>
      </c>
      <c r="L91" s="1041"/>
      <c r="M91" s="1041">
        <f>9*21*3</f>
        <v>567</v>
      </c>
      <c r="N91" s="1043"/>
      <c r="O91" s="1044">
        <v>1449</v>
      </c>
      <c r="P91" s="583">
        <f>COMPOSIÇÕES!B783</f>
        <v>6.9470999999999998</v>
      </c>
      <c r="Q91" s="999">
        <f t="shared" si="4"/>
        <v>10066.34</v>
      </c>
      <c r="X91" s="773"/>
    </row>
    <row r="92" spans="1:24" s="160" customFormat="1" ht="37.5" customHeight="1">
      <c r="A92" s="263" t="s">
        <v>2530</v>
      </c>
      <c r="B92" s="170" t="s">
        <v>1914</v>
      </c>
      <c r="C92" s="640" t="s">
        <v>2689</v>
      </c>
      <c r="D92" s="170" t="s">
        <v>391</v>
      </c>
      <c r="E92" s="576"/>
      <c r="F92" s="522"/>
      <c r="G92" s="522">
        <v>2.7</v>
      </c>
      <c r="H92" s="522">
        <v>2.7</v>
      </c>
      <c r="I92" s="257"/>
      <c r="J92" s="257"/>
      <c r="K92" s="257"/>
      <c r="L92" s="257"/>
      <c r="M92" s="257"/>
      <c r="N92" s="542"/>
      <c r="O92" s="192">
        <v>5.4</v>
      </c>
      <c r="P92" s="1001">
        <f>COMPOSIÇÕES!B883</f>
        <v>146.39954999999998</v>
      </c>
      <c r="Q92" s="999">
        <f t="shared" si="4"/>
        <v>790.55</v>
      </c>
      <c r="W92" s="773"/>
    </row>
    <row r="93" spans="1:24" s="160" customFormat="1" ht="22.5" customHeight="1">
      <c r="A93" s="210"/>
      <c r="B93" s="235"/>
      <c r="C93" s="243" t="s">
        <v>1141</v>
      </c>
      <c r="D93" s="235" t="s">
        <v>2</v>
      </c>
      <c r="E93" s="548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7"/>
      <c r="Q93" s="237">
        <f>SUM(Q85:Q92)</f>
        <v>768164.7699999999</v>
      </c>
    </row>
    <row r="94" spans="1:24" s="160" customFormat="1" ht="12" customHeight="1">
      <c r="A94" s="238"/>
      <c r="B94" s="239"/>
      <c r="C94" s="240"/>
      <c r="D94" s="239"/>
      <c r="E94" s="544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2"/>
      <c r="Q94" s="979"/>
    </row>
    <row r="95" spans="1:24" s="160" customFormat="1" ht="31.5" customHeight="1">
      <c r="A95" s="210" t="s">
        <v>29</v>
      </c>
      <c r="B95" s="235"/>
      <c r="C95" s="1115" t="s">
        <v>2149</v>
      </c>
      <c r="D95" s="1115"/>
      <c r="E95" s="1115"/>
      <c r="F95" s="1115"/>
      <c r="G95" s="1115"/>
      <c r="H95" s="1115"/>
      <c r="I95" s="1115"/>
      <c r="J95" s="1115"/>
      <c r="K95" s="1115"/>
      <c r="L95" s="1115"/>
      <c r="M95" s="1115"/>
      <c r="N95" s="1115"/>
      <c r="O95" s="1115"/>
      <c r="P95" s="237" t="s">
        <v>0</v>
      </c>
      <c r="Q95" s="237"/>
    </row>
    <row r="96" spans="1:24" s="160" customFormat="1" ht="20.25" customHeight="1">
      <c r="A96" s="209" t="s">
        <v>2143</v>
      </c>
      <c r="B96" s="225"/>
      <c r="C96" s="206" t="s">
        <v>2145</v>
      </c>
      <c r="D96" s="225"/>
      <c r="E96" s="554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260"/>
      <c r="X96" s="773"/>
    </row>
    <row r="97" spans="1:24" s="160" customFormat="1" ht="38.25" customHeight="1">
      <c r="A97" s="263" t="s">
        <v>2144</v>
      </c>
      <c r="B97" s="765" t="s">
        <v>2622</v>
      </c>
      <c r="C97" s="177" t="s">
        <v>2620</v>
      </c>
      <c r="D97" s="170" t="s">
        <v>100</v>
      </c>
      <c r="E97" s="576">
        <v>256.51</v>
      </c>
      <c r="F97" s="522"/>
      <c r="G97" s="522"/>
      <c r="H97" s="522">
        <v>81.05</v>
      </c>
      <c r="I97" s="522"/>
      <c r="J97" s="522"/>
      <c r="K97" s="522"/>
      <c r="L97" s="522"/>
      <c r="M97" s="522"/>
      <c r="N97" s="522"/>
      <c r="O97" s="522">
        <v>337.56</v>
      </c>
      <c r="P97" s="1001">
        <f>COMPOSIÇÕES!B2040</f>
        <v>57.892499999999998</v>
      </c>
      <c r="Q97" s="999">
        <f>TRUNC(O97*P97,2)</f>
        <v>19542.189999999999</v>
      </c>
    </row>
    <row r="98" spans="1:24" s="160" customFormat="1" ht="18.75" customHeight="1">
      <c r="A98" s="263" t="s">
        <v>2148</v>
      </c>
      <c r="B98" s="765" t="s">
        <v>2628</v>
      </c>
      <c r="C98" s="177" t="s">
        <v>2631</v>
      </c>
      <c r="D98" s="170" t="s">
        <v>100</v>
      </c>
      <c r="E98" s="576">
        <f>E97</f>
        <v>256.51</v>
      </c>
      <c r="F98" s="522"/>
      <c r="G98" s="522"/>
      <c r="H98" s="522">
        <f>H97</f>
        <v>81.05</v>
      </c>
      <c r="I98" s="522"/>
      <c r="J98" s="522"/>
      <c r="K98" s="522"/>
      <c r="L98" s="522"/>
      <c r="M98" s="522"/>
      <c r="N98" s="522"/>
      <c r="O98" s="522">
        <v>337.56</v>
      </c>
      <c r="P98" s="1001">
        <f>COMPOSIÇÕES!B2058</f>
        <v>56.796899999999994</v>
      </c>
      <c r="Q98" s="999">
        <f>TRUNC(O98*P98,2)</f>
        <v>19172.36</v>
      </c>
      <c r="W98" s="773"/>
    </row>
    <row r="99" spans="1:24" s="160" customFormat="1" ht="25.5" customHeight="1">
      <c r="A99" s="263"/>
      <c r="B99" s="227"/>
      <c r="C99" s="703" t="s">
        <v>2596</v>
      </c>
      <c r="D99" s="227"/>
      <c r="E99" s="702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706"/>
      <c r="Q99" s="260">
        <f>SUM(Q97:Q98)</f>
        <v>38714.550000000003</v>
      </c>
      <c r="W99" s="773"/>
    </row>
    <row r="100" spans="1:24" s="160" customFormat="1" ht="21.75" customHeight="1">
      <c r="A100" s="209" t="s">
        <v>2151</v>
      </c>
      <c r="B100" s="225"/>
      <c r="C100" s="206" t="s">
        <v>1148</v>
      </c>
      <c r="D100" s="225"/>
      <c r="E100" s="554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2"/>
      <c r="Q100" s="260"/>
    </row>
    <row r="101" spans="1:24" s="160" customFormat="1" ht="36.75" customHeight="1">
      <c r="A101" s="162" t="s">
        <v>2152</v>
      </c>
      <c r="B101" s="170" t="s">
        <v>2627</v>
      </c>
      <c r="C101" s="177" t="s">
        <v>2624</v>
      </c>
      <c r="D101" s="170" t="s">
        <v>100</v>
      </c>
      <c r="E101" s="576">
        <f>11*8*6*1.5</f>
        <v>792</v>
      </c>
      <c r="F101" s="522"/>
      <c r="G101" s="522">
        <f>1*15*6*1.5</f>
        <v>135</v>
      </c>
      <c r="H101" s="522">
        <f>1*19*6*1.5</f>
        <v>171</v>
      </c>
      <c r="I101" s="522"/>
      <c r="J101" s="522"/>
      <c r="K101" s="522"/>
      <c r="L101" s="522"/>
      <c r="M101" s="522"/>
      <c r="N101" s="522"/>
      <c r="O101" s="522">
        <v>947.3</v>
      </c>
      <c r="P101" s="1001">
        <f>COMPOSIÇÕES!B2021</f>
        <v>28.423350000000003</v>
      </c>
      <c r="Q101" s="999">
        <f>TRUNC(O101*P101,2)</f>
        <v>26925.43</v>
      </c>
    </row>
    <row r="102" spans="1:24" s="160" customFormat="1" ht="37.5" customHeight="1">
      <c r="A102" s="162" t="s">
        <v>2154</v>
      </c>
      <c r="B102" s="713" t="s">
        <v>2153</v>
      </c>
      <c r="C102" s="188" t="s">
        <v>2635</v>
      </c>
      <c r="D102" s="187" t="s">
        <v>12</v>
      </c>
      <c r="E102" s="537">
        <v>175.64</v>
      </c>
      <c r="F102" s="189"/>
      <c r="G102" s="189">
        <v>18.48</v>
      </c>
      <c r="H102" s="189">
        <v>39.69</v>
      </c>
      <c r="I102" s="189"/>
      <c r="J102" s="189"/>
      <c r="K102" s="189"/>
      <c r="L102" s="189"/>
      <c r="M102" s="189"/>
      <c r="N102" s="189"/>
      <c r="O102" s="522">
        <v>201.72</v>
      </c>
      <c r="P102" s="994">
        <f>COMPOSIÇÕES!B923</f>
        <v>23.468250000000001</v>
      </c>
      <c r="Q102" s="999">
        <f>TRUNC(O102*P102,2)</f>
        <v>4734.01</v>
      </c>
    </row>
    <row r="103" spans="1:24" s="160" customFormat="1" ht="23.25" customHeight="1">
      <c r="A103" s="263"/>
      <c r="B103" s="749"/>
      <c r="C103" s="703" t="s">
        <v>2607</v>
      </c>
      <c r="D103" s="750"/>
      <c r="E103" s="547"/>
      <c r="F103" s="751"/>
      <c r="G103" s="751"/>
      <c r="H103" s="751"/>
      <c r="I103" s="751"/>
      <c r="J103" s="751"/>
      <c r="K103" s="751"/>
      <c r="L103" s="751"/>
      <c r="M103" s="751"/>
      <c r="N103" s="751"/>
      <c r="O103" s="524"/>
      <c r="P103" s="229"/>
      <c r="Q103" s="983">
        <f>SUM(Q101:Q102)</f>
        <v>31659.440000000002</v>
      </c>
    </row>
    <row r="104" spans="1:24" s="160" customFormat="1" ht="20.25" customHeight="1">
      <c r="A104" s="210"/>
      <c r="B104" s="235"/>
      <c r="C104" s="243" t="s">
        <v>1149</v>
      </c>
      <c r="D104" s="235" t="s">
        <v>2</v>
      </c>
      <c r="E104" s="548"/>
      <c r="F104" s="236"/>
      <c r="G104" s="236"/>
      <c r="H104" s="236"/>
      <c r="I104" s="236"/>
      <c r="J104" s="236"/>
      <c r="K104" s="236"/>
      <c r="L104" s="236"/>
      <c r="M104" s="236"/>
      <c r="N104" s="236"/>
      <c r="O104" s="523"/>
      <c r="P104" s="237"/>
      <c r="Q104" s="237">
        <f>Q99+Q103</f>
        <v>70373.990000000005</v>
      </c>
    </row>
    <row r="105" spans="1:24" s="160" customFormat="1" ht="11.25" customHeight="1">
      <c r="A105" s="209"/>
      <c r="B105" s="225"/>
      <c r="C105" s="258"/>
      <c r="D105" s="225"/>
      <c r="E105" s="553"/>
      <c r="F105" s="259"/>
      <c r="G105" s="259"/>
      <c r="H105" s="259"/>
      <c r="I105" s="259"/>
      <c r="J105" s="259"/>
      <c r="K105" s="259"/>
      <c r="L105" s="259"/>
      <c r="M105" s="259"/>
      <c r="N105" s="259"/>
      <c r="O105" s="228"/>
      <c r="P105" s="260"/>
      <c r="Q105" s="260"/>
    </row>
    <row r="106" spans="1:24" s="160" customFormat="1" ht="18" customHeight="1">
      <c r="A106" s="210" t="s">
        <v>114</v>
      </c>
      <c r="B106" s="235"/>
      <c r="C106" s="212" t="s">
        <v>1511</v>
      </c>
      <c r="D106" s="235" t="s">
        <v>2</v>
      </c>
      <c r="E106" s="548"/>
      <c r="F106" s="236"/>
      <c r="G106" s="236"/>
      <c r="H106" s="236"/>
      <c r="I106" s="236"/>
      <c r="J106" s="236"/>
      <c r="K106" s="236"/>
      <c r="L106" s="236"/>
      <c r="M106" s="236"/>
      <c r="N106" s="236"/>
      <c r="O106" s="523"/>
      <c r="P106" s="237" t="s">
        <v>0</v>
      </c>
      <c r="Q106" s="237"/>
    </row>
    <row r="107" spans="1:24" s="160" customFormat="1" ht="22.5" customHeight="1">
      <c r="A107" s="263" t="s">
        <v>2009</v>
      </c>
      <c r="B107" s="170" t="s">
        <v>2484</v>
      </c>
      <c r="C107" s="177" t="s">
        <v>3146</v>
      </c>
      <c r="D107" s="165" t="s">
        <v>1487</v>
      </c>
      <c r="E107" s="538" t="e">
        <f>#REF!</f>
        <v>#REF!</v>
      </c>
      <c r="F107" s="537"/>
      <c r="G107" s="537" t="e">
        <f>#REF!</f>
        <v>#REF!</v>
      </c>
      <c r="H107" s="537" t="e">
        <f>#REF!</f>
        <v>#REF!</v>
      </c>
      <c r="I107" s="537"/>
      <c r="J107" s="537"/>
      <c r="K107" s="537"/>
      <c r="L107" s="537"/>
      <c r="M107" s="537"/>
      <c r="N107" s="537"/>
      <c r="O107" s="166">
        <v>1351.07</v>
      </c>
      <c r="P107" s="995">
        <f>COMPOSIÇÕES!C965</f>
        <v>34.680483449999997</v>
      </c>
      <c r="Q107" s="999">
        <f t="shared" ref="Q107:Q113" si="5">TRUNC(O107*P107,2)</f>
        <v>46855.76</v>
      </c>
    </row>
    <row r="108" spans="1:24" s="160" customFormat="1" ht="32.25" customHeight="1">
      <c r="A108" s="263" t="s">
        <v>2010</v>
      </c>
      <c r="B108" s="249" t="s">
        <v>2155</v>
      </c>
      <c r="C108" s="1013" t="s">
        <v>2156</v>
      </c>
      <c r="D108" s="165" t="s">
        <v>1487</v>
      </c>
      <c r="E108" s="538" t="e">
        <f>#REF!</f>
        <v>#REF!</v>
      </c>
      <c r="F108" s="537"/>
      <c r="G108" s="537"/>
      <c r="H108" s="537" t="e">
        <f>#REF!</f>
        <v>#REF!</v>
      </c>
      <c r="I108" s="537"/>
      <c r="J108" s="537"/>
      <c r="K108" s="537"/>
      <c r="L108" s="537"/>
      <c r="M108" s="537"/>
      <c r="N108" s="537"/>
      <c r="O108" s="166">
        <v>249.77</v>
      </c>
      <c r="P108" s="995">
        <f>COMPOSIÇÕES!B1455</f>
        <v>105.56354999999999</v>
      </c>
      <c r="Q108" s="999">
        <f t="shared" si="5"/>
        <v>26366.6</v>
      </c>
    </row>
    <row r="109" spans="1:24" s="160" customFormat="1" ht="30" customHeight="1">
      <c r="A109" s="263" t="s">
        <v>2011</v>
      </c>
      <c r="B109" s="249" t="s">
        <v>2609</v>
      </c>
      <c r="C109" s="183" t="s">
        <v>2608</v>
      </c>
      <c r="D109" s="165" t="s">
        <v>1487</v>
      </c>
      <c r="E109" s="538" t="e">
        <f>#REF!</f>
        <v>#REF!</v>
      </c>
      <c r="F109" s="537"/>
      <c r="G109" s="537" t="e">
        <f>#REF!</f>
        <v>#REF!</v>
      </c>
      <c r="H109" s="537" t="e">
        <f>#REF!</f>
        <v>#REF!</v>
      </c>
      <c r="I109" s="537"/>
      <c r="J109" s="537"/>
      <c r="K109" s="537"/>
      <c r="L109" s="537"/>
      <c r="M109" s="537"/>
      <c r="N109" s="537"/>
      <c r="O109" s="166">
        <v>372.71</v>
      </c>
      <c r="P109" s="995">
        <f>COMPOSIÇÕES!B1420</f>
        <v>162.69660000000002</v>
      </c>
      <c r="Q109" s="999">
        <f t="shared" si="5"/>
        <v>60638.64</v>
      </c>
      <c r="V109" s="773"/>
    </row>
    <row r="110" spans="1:24" s="160" customFormat="1" ht="37.5" customHeight="1">
      <c r="A110" s="263" t="s">
        <v>2012</v>
      </c>
      <c r="B110" s="170" t="s">
        <v>2146</v>
      </c>
      <c r="C110" s="177" t="s">
        <v>2610</v>
      </c>
      <c r="D110" s="165" t="s">
        <v>1487</v>
      </c>
      <c r="E110" s="538" t="e">
        <f>#REF!</f>
        <v>#REF!</v>
      </c>
      <c r="F110" s="537"/>
      <c r="G110" s="537"/>
      <c r="H110" s="537"/>
      <c r="I110" s="537"/>
      <c r="J110" s="537"/>
      <c r="K110" s="537"/>
      <c r="L110" s="537"/>
      <c r="M110" s="537"/>
      <c r="N110" s="537"/>
      <c r="O110" s="166">
        <v>720</v>
      </c>
      <c r="P110" s="995">
        <f>130.68*1.245</f>
        <v>162.69660000000002</v>
      </c>
      <c r="Q110" s="999">
        <f t="shared" si="5"/>
        <v>117141.55</v>
      </c>
      <c r="X110" s="773"/>
    </row>
    <row r="111" spans="1:24" s="160" customFormat="1" ht="24" customHeight="1">
      <c r="A111" s="263" t="s">
        <v>2013</v>
      </c>
      <c r="B111" s="170" t="s">
        <v>2147</v>
      </c>
      <c r="C111" s="177" t="s">
        <v>1853</v>
      </c>
      <c r="D111" s="165" t="s">
        <v>1487</v>
      </c>
      <c r="E111" s="538" t="e">
        <f>#REF!</f>
        <v>#REF!</v>
      </c>
      <c r="F111" s="537"/>
      <c r="G111" s="537" t="e">
        <f>#REF!</f>
        <v>#REF!</v>
      </c>
      <c r="H111" s="537" t="e">
        <f>#REF!</f>
        <v>#REF!</v>
      </c>
      <c r="I111" s="537"/>
      <c r="J111" s="537"/>
      <c r="K111" s="537"/>
      <c r="L111" s="537"/>
      <c r="M111" s="537"/>
      <c r="N111" s="537"/>
      <c r="O111" s="166">
        <v>3.82</v>
      </c>
      <c r="P111" s="995">
        <f>200.39*1.245</f>
        <v>249.48555000000002</v>
      </c>
      <c r="Q111" s="999">
        <f t="shared" si="5"/>
        <v>953.03</v>
      </c>
      <c r="X111" s="773"/>
    </row>
    <row r="112" spans="1:24" s="160" customFormat="1" ht="27.75" customHeight="1">
      <c r="A112" s="263" t="s">
        <v>2323</v>
      </c>
      <c r="B112" s="170" t="s">
        <v>2276</v>
      </c>
      <c r="C112" s="177" t="s">
        <v>1852</v>
      </c>
      <c r="D112" s="165" t="s">
        <v>1487</v>
      </c>
      <c r="E112" s="538" t="e">
        <f>#REF!</f>
        <v>#REF!</v>
      </c>
      <c r="F112" s="182"/>
      <c r="G112" s="566" t="e">
        <f>#REF!+10.8</f>
        <v>#REF!</v>
      </c>
      <c r="H112" s="566" t="e">
        <f>#REF!+10.8</f>
        <v>#REF!</v>
      </c>
      <c r="I112" s="182"/>
      <c r="J112" s="182" t="e">
        <f>#REF!</f>
        <v>#REF!</v>
      </c>
      <c r="K112" s="182" t="e">
        <f>#REF!</f>
        <v>#REF!</v>
      </c>
      <c r="L112" s="182"/>
      <c r="M112" s="182" t="e">
        <f>#REF!</f>
        <v>#REF!</v>
      </c>
      <c r="N112" s="182"/>
      <c r="O112" s="166">
        <v>444.63</v>
      </c>
      <c r="P112" s="995">
        <f>COMPOSIÇÕES!B1380</f>
        <v>103.04864999999999</v>
      </c>
      <c r="Q112" s="999">
        <f t="shared" si="5"/>
        <v>45818.52</v>
      </c>
    </row>
    <row r="113" spans="1:24" s="160" customFormat="1" ht="52.5" customHeight="1">
      <c r="A113" s="263" t="s">
        <v>2324</v>
      </c>
      <c r="B113" s="170" t="s">
        <v>1790</v>
      </c>
      <c r="C113" s="255" t="s">
        <v>1778</v>
      </c>
      <c r="D113" s="165" t="s">
        <v>1487</v>
      </c>
      <c r="E113" s="537"/>
      <c r="F113" s="256"/>
      <c r="G113" s="256"/>
      <c r="H113" s="256"/>
      <c r="I113" s="256"/>
      <c r="J113" s="256"/>
      <c r="K113" s="256"/>
      <c r="L113" s="256"/>
      <c r="M113" s="256"/>
      <c r="N113" s="166" t="e">
        <f>#REF!</f>
        <v>#REF!</v>
      </c>
      <c r="O113" s="166">
        <v>779.8</v>
      </c>
      <c r="P113" s="994">
        <f>COMPOSIÇÕES!B1361</f>
        <v>74.849400000000003</v>
      </c>
      <c r="Q113" s="999">
        <f t="shared" si="5"/>
        <v>58367.56</v>
      </c>
      <c r="U113" s="773"/>
    </row>
    <row r="114" spans="1:24" s="160" customFormat="1" ht="22.5" customHeight="1">
      <c r="A114" s="210"/>
      <c r="B114" s="235"/>
      <c r="C114" s="243" t="s">
        <v>1150</v>
      </c>
      <c r="D114" s="235" t="s">
        <v>2</v>
      </c>
      <c r="E114" s="548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7"/>
      <c r="Q114" s="237">
        <f>SUM(Q107:Q113)</f>
        <v>356141.66</v>
      </c>
    </row>
    <row r="115" spans="1:24" s="160" customFormat="1" ht="13.5" customHeight="1">
      <c r="A115" s="209"/>
      <c r="B115" s="225"/>
      <c r="C115" s="264"/>
      <c r="D115" s="225"/>
      <c r="E115" s="553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60"/>
      <c r="Q115" s="260"/>
    </row>
    <row r="116" spans="1:24" s="160" customFormat="1" ht="24" customHeight="1">
      <c r="A116" s="210" t="s">
        <v>985</v>
      </c>
      <c r="B116" s="235"/>
      <c r="C116" s="212" t="s">
        <v>1151</v>
      </c>
      <c r="D116" s="235" t="s">
        <v>2</v>
      </c>
      <c r="E116" s="548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7" t="s">
        <v>0</v>
      </c>
      <c r="Q116" s="237"/>
    </row>
    <row r="117" spans="1:24" s="160" customFormat="1" ht="24" customHeight="1">
      <c r="A117" s="209" t="s">
        <v>986</v>
      </c>
      <c r="B117" s="225"/>
      <c r="C117" s="206" t="s">
        <v>1152</v>
      </c>
      <c r="D117" s="251"/>
      <c r="E117" s="549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4"/>
      <c r="Q117" s="254"/>
    </row>
    <row r="118" spans="1:24" s="168" customFormat="1" ht="51.75" customHeight="1">
      <c r="A118" s="173" t="s">
        <v>1153</v>
      </c>
      <c r="B118" s="174" t="s">
        <v>3148</v>
      </c>
      <c r="C118" s="1032" t="s">
        <v>3149</v>
      </c>
      <c r="D118" s="165" t="s">
        <v>4</v>
      </c>
      <c r="E118" s="550">
        <v>48</v>
      </c>
      <c r="F118" s="175"/>
      <c r="G118" s="175"/>
      <c r="H118" s="175">
        <v>5</v>
      </c>
      <c r="I118" s="175"/>
      <c r="J118" s="175"/>
      <c r="K118" s="175"/>
      <c r="L118" s="175"/>
      <c r="M118" s="175"/>
      <c r="N118" s="175"/>
      <c r="O118" s="175">
        <v>1187</v>
      </c>
      <c r="P118" s="176">
        <v>10.82</v>
      </c>
      <c r="Q118" s="999">
        <f t="shared" ref="Q118:Q190" si="6">TRUNC(O118*P118,2)</f>
        <v>12843.34</v>
      </c>
      <c r="W118" s="160"/>
      <c r="X118" s="160"/>
    </row>
    <row r="119" spans="1:24" s="168" customFormat="1" ht="36" customHeight="1">
      <c r="A119" s="173" t="s">
        <v>1154</v>
      </c>
      <c r="B119" s="174" t="s">
        <v>3150</v>
      </c>
      <c r="C119" s="1032" t="s">
        <v>3151</v>
      </c>
      <c r="D119" s="165" t="s">
        <v>4</v>
      </c>
      <c r="E119" s="550">
        <v>97</v>
      </c>
      <c r="F119" s="175"/>
      <c r="G119" s="175">
        <v>11</v>
      </c>
      <c r="H119" s="175">
        <v>2</v>
      </c>
      <c r="I119" s="175"/>
      <c r="J119" s="175"/>
      <c r="K119" s="175"/>
      <c r="L119" s="175"/>
      <c r="M119" s="175"/>
      <c r="N119" s="175"/>
      <c r="O119" s="175">
        <v>276.2</v>
      </c>
      <c r="P119" s="176">
        <v>8.1</v>
      </c>
      <c r="Q119" s="999">
        <f t="shared" si="6"/>
        <v>2237.2199999999998</v>
      </c>
      <c r="W119" s="160"/>
      <c r="X119" s="160"/>
    </row>
    <row r="120" spans="1:24" s="168" customFormat="1" ht="42.75" customHeight="1">
      <c r="A120" s="173" t="s">
        <v>1155</v>
      </c>
      <c r="B120" s="174" t="s">
        <v>3152</v>
      </c>
      <c r="C120" s="1032" t="s">
        <v>3153</v>
      </c>
      <c r="D120" s="165" t="s">
        <v>3159</v>
      </c>
      <c r="E120" s="550">
        <v>14</v>
      </c>
      <c r="F120" s="175"/>
      <c r="G120" s="175"/>
      <c r="H120" s="175">
        <v>3</v>
      </c>
      <c r="I120" s="175"/>
      <c r="J120" s="175"/>
      <c r="K120" s="175"/>
      <c r="L120" s="175"/>
      <c r="M120" s="175"/>
      <c r="N120" s="175"/>
      <c r="O120" s="175">
        <v>23</v>
      </c>
      <c r="P120" s="176">
        <v>48.37</v>
      </c>
      <c r="Q120" s="999">
        <f t="shared" si="6"/>
        <v>1112.51</v>
      </c>
    </row>
    <row r="121" spans="1:24" s="168" customFormat="1" ht="47.25" customHeight="1">
      <c r="A121" s="173" t="s">
        <v>1156</v>
      </c>
      <c r="B121" s="174" t="s">
        <v>3154</v>
      </c>
      <c r="C121" s="1032" t="s">
        <v>3155</v>
      </c>
      <c r="D121" s="165" t="s">
        <v>4</v>
      </c>
      <c r="E121" s="550">
        <v>12</v>
      </c>
      <c r="F121" s="175"/>
      <c r="G121" s="175"/>
      <c r="H121" s="175">
        <v>3</v>
      </c>
      <c r="I121" s="175"/>
      <c r="J121" s="175"/>
      <c r="K121" s="175"/>
      <c r="L121" s="175"/>
      <c r="M121" s="175"/>
      <c r="N121" s="175"/>
      <c r="O121" s="175">
        <v>1200</v>
      </c>
      <c r="P121" s="176">
        <v>4.12</v>
      </c>
      <c r="Q121" s="999">
        <f t="shared" si="6"/>
        <v>4944</v>
      </c>
    </row>
    <row r="122" spans="1:24" s="168" customFormat="1" ht="40.5" customHeight="1">
      <c r="A122" s="173" t="s">
        <v>1157</v>
      </c>
      <c r="B122" s="174" t="s">
        <v>3156</v>
      </c>
      <c r="C122" s="1032" t="s">
        <v>3340</v>
      </c>
      <c r="D122" s="165" t="s">
        <v>4</v>
      </c>
      <c r="E122" s="550">
        <v>10</v>
      </c>
      <c r="F122" s="175"/>
      <c r="G122" s="175"/>
      <c r="H122" s="175">
        <v>1</v>
      </c>
      <c r="I122" s="175"/>
      <c r="J122" s="175"/>
      <c r="K122" s="175"/>
      <c r="L122" s="175"/>
      <c r="M122" s="175"/>
      <c r="N122" s="175"/>
      <c r="O122" s="175">
        <f>890+285.45</f>
        <v>1175.45</v>
      </c>
      <c r="P122" s="176">
        <v>5.48</v>
      </c>
      <c r="Q122" s="999">
        <f t="shared" si="6"/>
        <v>6441.46</v>
      </c>
    </row>
    <row r="123" spans="1:24" s="168" customFormat="1" ht="40.5" customHeight="1">
      <c r="A123" s="173" t="s">
        <v>1161</v>
      </c>
      <c r="B123" s="174" t="s">
        <v>3156</v>
      </c>
      <c r="C123" s="1032" t="s">
        <v>3339</v>
      </c>
      <c r="D123" s="165" t="s">
        <v>4</v>
      </c>
      <c r="E123" s="550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>
        <f>890+1103.45</f>
        <v>1993.45</v>
      </c>
      <c r="P123" s="176">
        <v>5.48</v>
      </c>
      <c r="Q123" s="999">
        <f t="shared" si="6"/>
        <v>10924.1</v>
      </c>
    </row>
    <row r="124" spans="1:24" s="168" customFormat="1" ht="40.5" customHeight="1">
      <c r="A124" s="173" t="s">
        <v>1162</v>
      </c>
      <c r="B124" s="174" t="s">
        <v>3156</v>
      </c>
      <c r="C124" s="1032" t="s">
        <v>3341</v>
      </c>
      <c r="D124" s="165" t="s">
        <v>4</v>
      </c>
      <c r="E124" s="550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>
        <f>890+1103.45</f>
        <v>1993.45</v>
      </c>
      <c r="P124" s="176">
        <v>5.48</v>
      </c>
      <c r="Q124" s="999">
        <f t="shared" si="6"/>
        <v>10924.1</v>
      </c>
    </row>
    <row r="125" spans="1:24" s="168" customFormat="1" ht="40.5" customHeight="1">
      <c r="A125" s="173" t="s">
        <v>1163</v>
      </c>
      <c r="B125" s="174" t="s">
        <v>3156</v>
      </c>
      <c r="C125" s="1032" t="s">
        <v>3342</v>
      </c>
      <c r="D125" s="165" t="s">
        <v>4</v>
      </c>
      <c r="E125" s="550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>
        <f>890+818</f>
        <v>1708</v>
      </c>
      <c r="P125" s="176">
        <v>5.48</v>
      </c>
      <c r="Q125" s="999">
        <f t="shared" si="6"/>
        <v>9359.84</v>
      </c>
    </row>
    <row r="126" spans="1:24" s="168" customFormat="1" ht="40.5" customHeight="1">
      <c r="A126" s="173" t="s">
        <v>1988</v>
      </c>
      <c r="B126" s="174" t="s">
        <v>3346</v>
      </c>
      <c r="C126" s="1032" t="s">
        <v>3343</v>
      </c>
      <c r="D126" s="165" t="s">
        <v>4</v>
      </c>
      <c r="E126" s="550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>
        <v>150</v>
      </c>
      <c r="P126" s="176">
        <f>4.5*1.245</f>
        <v>5.6025000000000009</v>
      </c>
      <c r="Q126" s="999">
        <f t="shared" si="6"/>
        <v>840.37</v>
      </c>
    </row>
    <row r="127" spans="1:24" s="168" customFormat="1" ht="47.25" customHeight="1">
      <c r="A127" s="173" t="s">
        <v>3357</v>
      </c>
      <c r="B127" s="174" t="s">
        <v>3346</v>
      </c>
      <c r="C127" s="1032" t="s">
        <v>3344</v>
      </c>
      <c r="D127" s="165" t="s">
        <v>4</v>
      </c>
      <c r="E127" s="550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>
        <v>150</v>
      </c>
      <c r="P127" s="176">
        <f>4.5*1.245</f>
        <v>5.6025000000000009</v>
      </c>
      <c r="Q127" s="999">
        <f t="shared" si="6"/>
        <v>840.37</v>
      </c>
    </row>
    <row r="128" spans="1:24" s="168" customFormat="1" ht="48.75" customHeight="1">
      <c r="A128" s="173" t="s">
        <v>1989</v>
      </c>
      <c r="B128" s="174" t="s">
        <v>3346</v>
      </c>
      <c r="C128" s="1032" t="s">
        <v>3345</v>
      </c>
      <c r="D128" s="165" t="s">
        <v>4</v>
      </c>
      <c r="E128" s="550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>
        <v>150</v>
      </c>
      <c r="P128" s="176">
        <f>4.5*1.245</f>
        <v>5.6025000000000009</v>
      </c>
      <c r="Q128" s="999">
        <f t="shared" si="6"/>
        <v>840.37</v>
      </c>
    </row>
    <row r="129" spans="1:21" s="168" customFormat="1" ht="48.75" customHeight="1">
      <c r="A129" s="173" t="s">
        <v>1990</v>
      </c>
      <c r="B129" s="174" t="s">
        <v>3350</v>
      </c>
      <c r="C129" s="1032" t="s">
        <v>3347</v>
      </c>
      <c r="D129" s="165" t="s">
        <v>4</v>
      </c>
      <c r="E129" s="550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>
        <v>700</v>
      </c>
      <c r="P129" s="176">
        <f>10.1*1.245</f>
        <v>12.5745</v>
      </c>
      <c r="Q129" s="999">
        <f t="shared" si="6"/>
        <v>8802.15</v>
      </c>
    </row>
    <row r="130" spans="1:21" s="168" customFormat="1" ht="48.75" customHeight="1">
      <c r="A130" s="173" t="s">
        <v>1991</v>
      </c>
      <c r="B130" s="174" t="s">
        <v>3350</v>
      </c>
      <c r="C130" s="1032" t="s">
        <v>3348</v>
      </c>
      <c r="D130" s="165" t="s">
        <v>4</v>
      </c>
      <c r="E130" s="550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>
        <v>220</v>
      </c>
      <c r="P130" s="176">
        <f>10.1*1.245</f>
        <v>12.5745</v>
      </c>
      <c r="Q130" s="999">
        <f t="shared" si="6"/>
        <v>2766.39</v>
      </c>
    </row>
    <row r="131" spans="1:21" s="168" customFormat="1" ht="48.75" customHeight="1">
      <c r="A131" s="173" t="s">
        <v>1992</v>
      </c>
      <c r="B131" s="174" t="s">
        <v>3350</v>
      </c>
      <c r="C131" s="1032" t="s">
        <v>3349</v>
      </c>
      <c r="D131" s="165" t="s">
        <v>4</v>
      </c>
      <c r="E131" s="550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>
        <v>220</v>
      </c>
      <c r="P131" s="176">
        <f>10.1*1.245</f>
        <v>12.5745</v>
      </c>
      <c r="Q131" s="999">
        <f t="shared" si="6"/>
        <v>2766.39</v>
      </c>
    </row>
    <row r="132" spans="1:21" s="168" customFormat="1" ht="48.75" customHeight="1">
      <c r="A132" s="173" t="s">
        <v>2486</v>
      </c>
      <c r="B132" s="174" t="s">
        <v>3354</v>
      </c>
      <c r="C132" s="1032" t="s">
        <v>3351</v>
      </c>
      <c r="D132" s="165" t="s">
        <v>4</v>
      </c>
      <c r="E132" s="550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>
        <f>1086</f>
        <v>1086</v>
      </c>
      <c r="P132" s="176">
        <f>17.58*1.245</f>
        <v>21.8871</v>
      </c>
      <c r="Q132" s="999">
        <f t="shared" si="6"/>
        <v>23769.39</v>
      </c>
    </row>
    <row r="133" spans="1:21" s="168" customFormat="1" ht="48.75" customHeight="1">
      <c r="A133" s="173" t="s">
        <v>1993</v>
      </c>
      <c r="B133" s="174" t="s">
        <v>3354</v>
      </c>
      <c r="C133" s="1032" t="s">
        <v>3352</v>
      </c>
      <c r="D133" s="165" t="s">
        <v>4</v>
      </c>
      <c r="E133" s="550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>
        <f>362</f>
        <v>362</v>
      </c>
      <c r="P133" s="176">
        <f t="shared" ref="P133:P134" si="7">17.58*1.245</f>
        <v>21.8871</v>
      </c>
      <c r="Q133" s="999">
        <f t="shared" si="6"/>
        <v>7923.13</v>
      </c>
    </row>
    <row r="134" spans="1:21" s="168" customFormat="1" ht="48.75" customHeight="1">
      <c r="A134" s="173" t="s">
        <v>1994</v>
      </c>
      <c r="B134" s="174" t="s">
        <v>3354</v>
      </c>
      <c r="C134" s="1032" t="s">
        <v>3353</v>
      </c>
      <c r="D134" s="165" t="s">
        <v>4</v>
      </c>
      <c r="E134" s="550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>
        <f>362</f>
        <v>362</v>
      </c>
      <c r="P134" s="176">
        <f t="shared" si="7"/>
        <v>21.8871</v>
      </c>
      <c r="Q134" s="999">
        <f t="shared" si="6"/>
        <v>7923.13</v>
      </c>
    </row>
    <row r="135" spans="1:21" s="168" customFormat="1" ht="48" customHeight="1">
      <c r="A135" s="173" t="s">
        <v>1995</v>
      </c>
      <c r="B135" s="174" t="s">
        <v>3355</v>
      </c>
      <c r="C135" s="1032" t="s">
        <v>3356</v>
      </c>
      <c r="D135" s="165" t="s">
        <v>2713</v>
      </c>
      <c r="E135" s="550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>
        <v>30</v>
      </c>
      <c r="P135" s="176">
        <f>52.79*1.245</f>
        <v>65.723550000000003</v>
      </c>
      <c r="Q135" s="999">
        <f t="shared" si="6"/>
        <v>1971.7</v>
      </c>
    </row>
    <row r="136" spans="1:21" s="168" customFormat="1" ht="41.25" customHeight="1">
      <c r="A136" s="173" t="s">
        <v>1996</v>
      </c>
      <c r="B136" s="174" t="s">
        <v>3157</v>
      </c>
      <c r="C136" s="1032" t="s">
        <v>3158</v>
      </c>
      <c r="D136" s="165" t="s">
        <v>4</v>
      </c>
      <c r="E136" s="550"/>
      <c r="F136" s="175"/>
      <c r="G136" s="175"/>
      <c r="H136" s="175">
        <v>2</v>
      </c>
      <c r="I136" s="175"/>
      <c r="J136" s="175"/>
      <c r="K136" s="175"/>
      <c r="L136" s="175"/>
      <c r="M136" s="175"/>
      <c r="N136" s="175"/>
      <c r="O136" s="1044">
        <f>160</f>
        <v>160</v>
      </c>
      <c r="P136" s="176">
        <v>10.36</v>
      </c>
      <c r="Q136" s="999">
        <f t="shared" si="6"/>
        <v>1657.6</v>
      </c>
    </row>
    <row r="137" spans="1:21" s="168" customFormat="1" ht="69" customHeight="1">
      <c r="A137" s="173" t="s">
        <v>1997</v>
      </c>
      <c r="B137" s="174" t="s">
        <v>3160</v>
      </c>
      <c r="C137" s="1032" t="s">
        <v>3161</v>
      </c>
      <c r="D137" s="165" t="s">
        <v>4</v>
      </c>
      <c r="E137" s="550">
        <v>22</v>
      </c>
      <c r="F137" s="175"/>
      <c r="G137" s="175"/>
      <c r="H137" s="175">
        <v>3</v>
      </c>
      <c r="I137" s="175"/>
      <c r="J137" s="175"/>
      <c r="K137" s="175"/>
      <c r="L137" s="175"/>
      <c r="M137" s="175"/>
      <c r="N137" s="175"/>
      <c r="O137" s="175">
        <v>600</v>
      </c>
      <c r="P137" s="176">
        <v>47.68</v>
      </c>
      <c r="Q137" s="999">
        <f t="shared" si="6"/>
        <v>28608</v>
      </c>
    </row>
    <row r="138" spans="1:21" s="168" customFormat="1" ht="67.5" customHeight="1">
      <c r="A138" s="173" t="s">
        <v>1998</v>
      </c>
      <c r="B138" s="174" t="s">
        <v>3162</v>
      </c>
      <c r="C138" s="1032" t="s">
        <v>3163</v>
      </c>
      <c r="D138" s="165" t="s">
        <v>4</v>
      </c>
      <c r="E138" s="550">
        <v>14</v>
      </c>
      <c r="F138" s="175"/>
      <c r="G138" s="175"/>
      <c r="H138" s="175"/>
      <c r="I138" s="175"/>
      <c r="J138" s="175"/>
      <c r="K138" s="175"/>
      <c r="L138" s="175"/>
      <c r="M138" s="175"/>
      <c r="N138" s="175"/>
      <c r="O138" s="175">
        <v>20</v>
      </c>
      <c r="P138" s="176">
        <v>16.02</v>
      </c>
      <c r="Q138" s="999">
        <f t="shared" si="6"/>
        <v>320.39999999999998</v>
      </c>
    </row>
    <row r="139" spans="1:21" s="168" customFormat="1" ht="20.100000000000001" customHeight="1">
      <c r="A139" s="173" t="s">
        <v>1999</v>
      </c>
      <c r="B139" s="174" t="s">
        <v>3164</v>
      </c>
      <c r="C139" s="1032" t="s">
        <v>3165</v>
      </c>
      <c r="D139" s="165" t="s">
        <v>1791</v>
      </c>
      <c r="E139" s="550">
        <f>6+11</f>
        <v>17</v>
      </c>
      <c r="F139" s="175"/>
      <c r="G139" s="175"/>
      <c r="H139" s="175"/>
      <c r="I139" s="175"/>
      <c r="J139" s="175"/>
      <c r="K139" s="175"/>
      <c r="L139" s="175"/>
      <c r="M139" s="175"/>
      <c r="N139" s="175"/>
      <c r="O139" s="175">
        <v>362</v>
      </c>
      <c r="P139" s="176">
        <v>11.23</v>
      </c>
      <c r="Q139" s="999">
        <f t="shared" si="6"/>
        <v>4065.26</v>
      </c>
    </row>
    <row r="140" spans="1:21" s="168" customFormat="1" ht="34.5" customHeight="1">
      <c r="A140" s="173" t="s">
        <v>2000</v>
      </c>
      <c r="B140" s="174" t="s">
        <v>3166</v>
      </c>
      <c r="C140" s="1032" t="s">
        <v>3167</v>
      </c>
      <c r="D140" s="165" t="s">
        <v>1791</v>
      </c>
      <c r="E140" s="550">
        <v>42</v>
      </c>
      <c r="F140" s="175"/>
      <c r="G140" s="175"/>
      <c r="H140" s="175"/>
      <c r="I140" s="175"/>
      <c r="J140" s="175"/>
      <c r="K140" s="175"/>
      <c r="L140" s="175"/>
      <c r="M140" s="175"/>
      <c r="N140" s="175"/>
      <c r="O140" s="175">
        <v>185</v>
      </c>
      <c r="P140" s="176">
        <v>47.6</v>
      </c>
      <c r="Q140" s="999">
        <f t="shared" si="6"/>
        <v>8806</v>
      </c>
    </row>
    <row r="141" spans="1:21" s="168" customFormat="1" ht="41.25" customHeight="1">
      <c r="A141" s="173" t="s">
        <v>2001</v>
      </c>
      <c r="B141" s="174" t="s">
        <v>3168</v>
      </c>
      <c r="C141" s="1032" t="s">
        <v>3169</v>
      </c>
      <c r="D141" s="165" t="s">
        <v>1452</v>
      </c>
      <c r="E141" s="550">
        <v>20</v>
      </c>
      <c r="F141" s="175"/>
      <c r="G141" s="175"/>
      <c r="H141" s="175"/>
      <c r="I141" s="175"/>
      <c r="J141" s="175"/>
      <c r="K141" s="175"/>
      <c r="L141" s="175"/>
      <c r="M141" s="175"/>
      <c r="N141" s="175"/>
      <c r="O141" s="175">
        <v>61</v>
      </c>
      <c r="P141" s="176">
        <v>113.92</v>
      </c>
      <c r="Q141" s="999">
        <f t="shared" si="6"/>
        <v>6949.12</v>
      </c>
    </row>
    <row r="142" spans="1:21" s="168" customFormat="1" ht="36.75" customHeight="1">
      <c r="A142" s="173" t="s">
        <v>2002</v>
      </c>
      <c r="B142" s="163" t="s">
        <v>3170</v>
      </c>
      <c r="C142" s="1033" t="s">
        <v>3171</v>
      </c>
      <c r="D142" s="165" t="s">
        <v>1452</v>
      </c>
      <c r="E142" s="550">
        <v>20</v>
      </c>
      <c r="F142" s="175"/>
      <c r="G142" s="175"/>
      <c r="H142" s="175"/>
      <c r="I142" s="175"/>
      <c r="J142" s="175"/>
      <c r="K142" s="175"/>
      <c r="L142" s="175"/>
      <c r="M142" s="175"/>
      <c r="N142" s="175"/>
      <c r="O142" s="175">
        <v>183</v>
      </c>
      <c r="P142" s="167">
        <v>49.52</v>
      </c>
      <c r="Q142" s="999">
        <f t="shared" si="6"/>
        <v>9062.16</v>
      </c>
    </row>
    <row r="143" spans="1:21" s="168" customFormat="1" ht="48" customHeight="1">
      <c r="A143" s="173" t="s">
        <v>2003</v>
      </c>
      <c r="B143" s="163" t="s">
        <v>3172</v>
      </c>
      <c r="C143" s="1033" t="s">
        <v>3173</v>
      </c>
      <c r="D143" s="165" t="s">
        <v>1452</v>
      </c>
      <c r="E143" s="550">
        <v>218</v>
      </c>
      <c r="F143" s="175"/>
      <c r="G143" s="175">
        <v>24</v>
      </c>
      <c r="H143" s="175">
        <v>29</v>
      </c>
      <c r="I143" s="175"/>
      <c r="J143" s="175"/>
      <c r="K143" s="175"/>
      <c r="L143" s="175"/>
      <c r="M143" s="175"/>
      <c r="N143" s="175"/>
      <c r="O143" s="175">
        <v>61</v>
      </c>
      <c r="P143" s="167">
        <v>46.59</v>
      </c>
      <c r="Q143" s="999">
        <f t="shared" si="6"/>
        <v>2841.99</v>
      </c>
    </row>
    <row r="144" spans="1:21" s="168" customFormat="1" ht="66.75" customHeight="1">
      <c r="A144" s="173" t="s">
        <v>2004</v>
      </c>
      <c r="B144" s="163" t="s">
        <v>3174</v>
      </c>
      <c r="C144" s="1034" t="s">
        <v>3175</v>
      </c>
      <c r="D144" s="165" t="s">
        <v>1452</v>
      </c>
      <c r="E144" s="550">
        <v>7</v>
      </c>
      <c r="F144" s="175"/>
      <c r="G144" s="175"/>
      <c r="H144" s="175"/>
      <c r="I144" s="175"/>
      <c r="J144" s="175"/>
      <c r="K144" s="175"/>
      <c r="L144" s="175"/>
      <c r="M144" s="175"/>
      <c r="N144" s="175"/>
      <c r="O144" s="175">
        <v>70</v>
      </c>
      <c r="P144" s="167">
        <v>47.24</v>
      </c>
      <c r="Q144" s="999">
        <f t="shared" si="6"/>
        <v>3306.8</v>
      </c>
      <c r="U144" s="159"/>
    </row>
    <row r="145" spans="1:17" s="168" customFormat="1" ht="68.25" customHeight="1">
      <c r="A145" s="173" t="s">
        <v>2005</v>
      </c>
      <c r="B145" s="163" t="s">
        <v>3176</v>
      </c>
      <c r="C145" s="1033" t="s">
        <v>3177</v>
      </c>
      <c r="D145" s="165" t="s">
        <v>1452</v>
      </c>
      <c r="E145" s="550">
        <v>4</v>
      </c>
      <c r="F145" s="175"/>
      <c r="G145" s="175"/>
      <c r="H145" s="175"/>
      <c r="I145" s="175"/>
      <c r="J145" s="175"/>
      <c r="K145" s="175"/>
      <c r="L145" s="175"/>
      <c r="M145" s="175"/>
      <c r="N145" s="175">
        <v>2</v>
      </c>
      <c r="O145" s="175">
        <v>30</v>
      </c>
      <c r="P145" s="167">
        <v>48.37</v>
      </c>
      <c r="Q145" s="999">
        <f t="shared" si="6"/>
        <v>1451.1</v>
      </c>
    </row>
    <row r="146" spans="1:17" s="168" customFormat="1" ht="68.25" customHeight="1">
      <c r="A146" s="173" t="s">
        <v>2006</v>
      </c>
      <c r="B146" s="163" t="s">
        <v>3178</v>
      </c>
      <c r="C146" s="1033" t="s">
        <v>3179</v>
      </c>
      <c r="D146" s="165" t="s">
        <v>1452</v>
      </c>
      <c r="E146" s="550"/>
      <c r="F146" s="175"/>
      <c r="G146" s="175">
        <v>1</v>
      </c>
      <c r="H146" s="175"/>
      <c r="I146" s="175"/>
      <c r="J146" s="175"/>
      <c r="K146" s="175"/>
      <c r="L146" s="175"/>
      <c r="M146" s="175"/>
      <c r="N146" s="175"/>
      <c r="O146" s="175">
        <v>16</v>
      </c>
      <c r="P146" s="167">
        <v>813.78</v>
      </c>
      <c r="Q146" s="999">
        <f t="shared" si="6"/>
        <v>13020.48</v>
      </c>
    </row>
    <row r="147" spans="1:17" s="168" customFormat="1" ht="66" customHeight="1">
      <c r="A147" s="173" t="s">
        <v>2007</v>
      </c>
      <c r="B147" s="163" t="s">
        <v>3180</v>
      </c>
      <c r="C147" s="1034" t="s">
        <v>3181</v>
      </c>
      <c r="D147" s="165" t="s">
        <v>1452</v>
      </c>
      <c r="E147" s="550"/>
      <c r="F147" s="175"/>
      <c r="G147" s="175"/>
      <c r="H147" s="175">
        <v>1</v>
      </c>
      <c r="I147" s="175"/>
      <c r="J147" s="175"/>
      <c r="K147" s="175"/>
      <c r="L147" s="175"/>
      <c r="M147" s="175"/>
      <c r="N147" s="175"/>
      <c r="O147" s="175">
        <v>16</v>
      </c>
      <c r="P147" s="1035">
        <v>84.82</v>
      </c>
      <c r="Q147" s="999">
        <f t="shared" si="6"/>
        <v>1357.12</v>
      </c>
    </row>
    <row r="148" spans="1:17" s="168" customFormat="1" ht="27.75" customHeight="1">
      <c r="A148" s="173" t="s">
        <v>2008</v>
      </c>
      <c r="B148" s="163" t="s">
        <v>1653</v>
      </c>
      <c r="C148" s="1033" t="s">
        <v>3182</v>
      </c>
      <c r="D148" s="165" t="s">
        <v>1452</v>
      </c>
      <c r="E148" s="550">
        <v>7</v>
      </c>
      <c r="F148" s="175"/>
      <c r="G148" s="175"/>
      <c r="H148" s="175"/>
      <c r="I148" s="175"/>
      <c r="J148" s="175"/>
      <c r="K148" s="175"/>
      <c r="L148" s="175"/>
      <c r="M148" s="175"/>
      <c r="N148" s="175"/>
      <c r="O148" s="175">
        <v>234</v>
      </c>
      <c r="P148" s="167">
        <v>127.97</v>
      </c>
      <c r="Q148" s="999">
        <f t="shared" si="6"/>
        <v>29944.98</v>
      </c>
    </row>
    <row r="149" spans="1:17" s="168" customFormat="1" ht="69.75" customHeight="1">
      <c r="A149" s="173" t="s">
        <v>2487</v>
      </c>
      <c r="B149" s="163" t="s">
        <v>3183</v>
      </c>
      <c r="C149" s="1033" t="s">
        <v>1944</v>
      </c>
      <c r="D149" s="165" t="s">
        <v>1452</v>
      </c>
      <c r="E149" s="550">
        <v>8</v>
      </c>
      <c r="F149" s="175"/>
      <c r="G149" s="175"/>
      <c r="H149" s="175"/>
      <c r="I149" s="175"/>
      <c r="J149" s="175"/>
      <c r="K149" s="175"/>
      <c r="L149" s="175"/>
      <c r="M149" s="175"/>
      <c r="N149" s="175">
        <v>3</v>
      </c>
      <c r="O149" s="175">
        <v>7</v>
      </c>
      <c r="P149" s="167">
        <v>215.55</v>
      </c>
      <c r="Q149" s="999">
        <f t="shared" si="6"/>
        <v>1508.85</v>
      </c>
    </row>
    <row r="150" spans="1:17" s="168" customFormat="1" ht="61.5" customHeight="1">
      <c r="A150" s="173" t="s">
        <v>3238</v>
      </c>
      <c r="B150" s="163" t="s">
        <v>3184</v>
      </c>
      <c r="C150" s="1033" t="s">
        <v>1947</v>
      </c>
      <c r="D150" s="165" t="s">
        <v>1452</v>
      </c>
      <c r="E150" s="550"/>
      <c r="F150" s="175"/>
      <c r="G150" s="175"/>
      <c r="H150" s="175">
        <v>1</v>
      </c>
      <c r="I150" s="175"/>
      <c r="J150" s="175"/>
      <c r="K150" s="175"/>
      <c r="L150" s="175"/>
      <c r="M150" s="175"/>
      <c r="N150" s="175"/>
      <c r="O150" s="175">
        <v>4</v>
      </c>
      <c r="P150" s="167">
        <v>398.24</v>
      </c>
      <c r="Q150" s="999">
        <f t="shared" si="6"/>
        <v>1592.96</v>
      </c>
    </row>
    <row r="151" spans="1:17" s="168" customFormat="1" ht="49.5" customHeight="1">
      <c r="A151" s="173" t="s">
        <v>3239</v>
      </c>
      <c r="B151" s="163" t="s">
        <v>1945</v>
      </c>
      <c r="C151" s="1033" t="s">
        <v>1946</v>
      </c>
      <c r="D151" s="165" t="s">
        <v>1452</v>
      </c>
      <c r="E151" s="550">
        <v>4</v>
      </c>
      <c r="F151" s="175"/>
      <c r="G151" s="175"/>
      <c r="H151" s="175"/>
      <c r="I151" s="175"/>
      <c r="J151" s="175"/>
      <c r="K151" s="175"/>
      <c r="L151" s="175"/>
      <c r="M151" s="175"/>
      <c r="N151" s="175">
        <v>4</v>
      </c>
      <c r="O151" s="175">
        <v>1</v>
      </c>
      <c r="P151" s="167">
        <v>98.69</v>
      </c>
      <c r="Q151" s="999">
        <f t="shared" si="6"/>
        <v>98.69</v>
      </c>
    </row>
    <row r="152" spans="1:17" s="168" customFormat="1" ht="61.5" customHeight="1">
      <c r="A152" s="173" t="s">
        <v>3240</v>
      </c>
      <c r="B152" s="163" t="s">
        <v>3185</v>
      </c>
      <c r="C152" s="1033" t="s">
        <v>1948</v>
      </c>
      <c r="D152" s="165" t="s">
        <v>1452</v>
      </c>
      <c r="E152" s="550"/>
      <c r="F152" s="175"/>
      <c r="G152" s="175"/>
      <c r="H152" s="175">
        <v>1</v>
      </c>
      <c r="I152" s="175"/>
      <c r="J152" s="175"/>
      <c r="K152" s="175"/>
      <c r="L152" s="175"/>
      <c r="M152" s="175"/>
      <c r="N152" s="175">
        <v>1</v>
      </c>
      <c r="O152" s="175">
        <v>1</v>
      </c>
      <c r="P152" s="167">
        <v>484.95</v>
      </c>
      <c r="Q152" s="999">
        <f t="shared" si="6"/>
        <v>484.95</v>
      </c>
    </row>
    <row r="153" spans="1:17" s="168" customFormat="1" ht="21.9" customHeight="1">
      <c r="A153" s="173" t="s">
        <v>3241</v>
      </c>
      <c r="B153" s="163" t="s">
        <v>2128</v>
      </c>
      <c r="C153" s="1033" t="s">
        <v>1949</v>
      </c>
      <c r="D153" s="165" t="s">
        <v>1452</v>
      </c>
      <c r="E153" s="550">
        <v>67</v>
      </c>
      <c r="F153" s="175"/>
      <c r="G153" s="175"/>
      <c r="H153" s="175">
        <v>11</v>
      </c>
      <c r="I153" s="175"/>
      <c r="J153" s="175"/>
      <c r="K153" s="175"/>
      <c r="L153" s="175"/>
      <c r="M153" s="175"/>
      <c r="N153" s="175">
        <v>2</v>
      </c>
      <c r="O153" s="175">
        <v>6</v>
      </c>
      <c r="P153" s="167">
        <v>392.55</v>
      </c>
      <c r="Q153" s="999">
        <f t="shared" si="6"/>
        <v>2355.3000000000002</v>
      </c>
    </row>
    <row r="154" spans="1:17" s="168" customFormat="1" ht="21.9" customHeight="1">
      <c r="A154" s="173" t="s">
        <v>3242</v>
      </c>
      <c r="B154" s="163" t="s">
        <v>3186</v>
      </c>
      <c r="C154" s="1033" t="s">
        <v>3187</v>
      </c>
      <c r="D154" s="165" t="s">
        <v>1452</v>
      </c>
      <c r="E154" s="550">
        <v>37</v>
      </c>
      <c r="F154" s="175"/>
      <c r="G154" s="175"/>
      <c r="H154" s="175">
        <v>4</v>
      </c>
      <c r="I154" s="175"/>
      <c r="J154" s="175"/>
      <c r="K154" s="175"/>
      <c r="L154" s="175"/>
      <c r="M154" s="175"/>
      <c r="N154" s="175"/>
      <c r="O154" s="175">
        <v>10</v>
      </c>
      <c r="P154" s="167">
        <v>254.05</v>
      </c>
      <c r="Q154" s="999">
        <f t="shared" si="6"/>
        <v>2540.5</v>
      </c>
    </row>
    <row r="155" spans="1:17" s="168" customFormat="1" ht="21.9" customHeight="1">
      <c r="A155" s="173" t="s">
        <v>3243</v>
      </c>
      <c r="B155" s="163" t="s">
        <v>3188</v>
      </c>
      <c r="C155" s="1033" t="s">
        <v>3189</v>
      </c>
      <c r="D155" s="165" t="s">
        <v>1452</v>
      </c>
      <c r="E155" s="550">
        <v>10</v>
      </c>
      <c r="F155" s="175"/>
      <c r="G155" s="175"/>
      <c r="H155" s="175">
        <v>1</v>
      </c>
      <c r="I155" s="175"/>
      <c r="J155" s="175"/>
      <c r="K155" s="175"/>
      <c r="L155" s="175"/>
      <c r="M155" s="175"/>
      <c r="N155" s="175"/>
      <c r="O155" s="175">
        <v>1</v>
      </c>
      <c r="P155" s="167">
        <v>254.78</v>
      </c>
      <c r="Q155" s="999">
        <f t="shared" si="6"/>
        <v>254.78</v>
      </c>
    </row>
    <row r="156" spans="1:17" s="168" customFormat="1" ht="34.5" customHeight="1">
      <c r="A156" s="173" t="s">
        <v>3244</v>
      </c>
      <c r="B156" s="163" t="s">
        <v>3190</v>
      </c>
      <c r="C156" s="1033" t="s">
        <v>3191</v>
      </c>
      <c r="D156" s="165" t="s">
        <v>1452</v>
      </c>
      <c r="E156" s="550">
        <v>11</v>
      </c>
      <c r="F156" s="175"/>
      <c r="G156" s="175"/>
      <c r="H156" s="175"/>
      <c r="I156" s="175"/>
      <c r="J156" s="175"/>
      <c r="K156" s="175"/>
      <c r="L156" s="175"/>
      <c r="M156" s="175"/>
      <c r="N156" s="175"/>
      <c r="O156" s="175">
        <v>7</v>
      </c>
      <c r="P156" s="167">
        <v>276.12</v>
      </c>
      <c r="Q156" s="999">
        <f t="shared" si="6"/>
        <v>1932.84</v>
      </c>
    </row>
    <row r="157" spans="1:17" s="168" customFormat="1" ht="21.9" customHeight="1">
      <c r="A157" s="173" t="s">
        <v>3245</v>
      </c>
      <c r="B157" s="163" t="s">
        <v>3192</v>
      </c>
      <c r="C157" s="1033" t="s">
        <v>3193</v>
      </c>
      <c r="D157" s="165" t="s">
        <v>1452</v>
      </c>
      <c r="E157" s="550">
        <v>3</v>
      </c>
      <c r="F157" s="175"/>
      <c r="G157" s="175"/>
      <c r="H157" s="175">
        <v>2</v>
      </c>
      <c r="I157" s="175"/>
      <c r="J157" s="175"/>
      <c r="K157" s="175"/>
      <c r="L157" s="175"/>
      <c r="M157" s="175"/>
      <c r="N157" s="175"/>
      <c r="O157" s="175">
        <v>2</v>
      </c>
      <c r="P157" s="167">
        <v>324.62</v>
      </c>
      <c r="Q157" s="999">
        <f t="shared" si="6"/>
        <v>649.24</v>
      </c>
    </row>
    <row r="158" spans="1:17" s="168" customFormat="1" ht="21.9" customHeight="1">
      <c r="A158" s="173" t="s">
        <v>3246</v>
      </c>
      <c r="B158" s="163" t="s">
        <v>2130</v>
      </c>
      <c r="C158" s="1033" t="s">
        <v>3194</v>
      </c>
      <c r="D158" s="165" t="s">
        <v>1452</v>
      </c>
      <c r="E158" s="550">
        <v>2</v>
      </c>
      <c r="F158" s="175"/>
      <c r="G158" s="175"/>
      <c r="H158" s="175"/>
      <c r="I158" s="175"/>
      <c r="J158" s="175"/>
      <c r="K158" s="175"/>
      <c r="L158" s="175"/>
      <c r="M158" s="175"/>
      <c r="N158" s="175">
        <v>2</v>
      </c>
      <c r="O158" s="175">
        <v>74</v>
      </c>
      <c r="P158" s="167">
        <v>12.08</v>
      </c>
      <c r="Q158" s="999">
        <f t="shared" si="6"/>
        <v>893.92</v>
      </c>
    </row>
    <row r="159" spans="1:17" s="168" customFormat="1" ht="21.75" customHeight="1">
      <c r="A159" s="173" t="s">
        <v>3247</v>
      </c>
      <c r="B159" s="163" t="s">
        <v>2129</v>
      </c>
      <c r="C159" s="1033" t="s">
        <v>3195</v>
      </c>
      <c r="D159" s="165" t="s">
        <v>1452</v>
      </c>
      <c r="E159" s="550"/>
      <c r="F159" s="175"/>
      <c r="G159" s="175"/>
      <c r="H159" s="175"/>
      <c r="I159" s="175"/>
      <c r="J159" s="175"/>
      <c r="K159" s="175"/>
      <c r="L159" s="175"/>
      <c r="M159" s="175"/>
      <c r="N159" s="175">
        <v>1</v>
      </c>
      <c r="O159" s="175">
        <v>38</v>
      </c>
      <c r="P159" s="176">
        <v>14.57</v>
      </c>
      <c r="Q159" s="999">
        <f t="shared" si="6"/>
        <v>553.66</v>
      </c>
    </row>
    <row r="160" spans="1:17" s="168" customFormat="1" ht="21.75" customHeight="1">
      <c r="A160" s="173" t="s">
        <v>3248</v>
      </c>
      <c r="B160" s="163" t="s">
        <v>2131</v>
      </c>
      <c r="C160" s="1033" t="s">
        <v>3196</v>
      </c>
      <c r="D160" s="165" t="s">
        <v>1452</v>
      </c>
      <c r="E160" s="550"/>
      <c r="F160" s="175"/>
      <c r="G160" s="175"/>
      <c r="H160" s="175"/>
      <c r="I160" s="175"/>
      <c r="J160" s="175"/>
      <c r="K160" s="175"/>
      <c r="L160" s="175"/>
      <c r="M160" s="175"/>
      <c r="N160" s="175">
        <v>1</v>
      </c>
      <c r="O160" s="175">
        <v>11</v>
      </c>
      <c r="P160" s="176">
        <v>57.87</v>
      </c>
      <c r="Q160" s="999">
        <f t="shared" si="6"/>
        <v>636.57000000000005</v>
      </c>
    </row>
    <row r="161" spans="1:17" s="168" customFormat="1" ht="21.75" customHeight="1">
      <c r="A161" s="173" t="s">
        <v>3249</v>
      </c>
      <c r="B161" s="163" t="s">
        <v>2134</v>
      </c>
      <c r="C161" s="1036" t="s">
        <v>3197</v>
      </c>
      <c r="D161" s="165" t="s">
        <v>1452</v>
      </c>
      <c r="E161" s="170"/>
      <c r="F161" s="550"/>
      <c r="G161" s="175"/>
      <c r="H161" s="175"/>
      <c r="I161" s="175"/>
      <c r="J161" s="175"/>
      <c r="K161" s="175"/>
      <c r="L161" s="175"/>
      <c r="M161" s="175"/>
      <c r="N161" s="175"/>
      <c r="O161" s="175">
        <v>11</v>
      </c>
      <c r="P161" s="175">
        <v>80.08</v>
      </c>
      <c r="Q161" s="999">
        <f t="shared" si="6"/>
        <v>880.88</v>
      </c>
    </row>
    <row r="162" spans="1:17" s="168" customFormat="1" ht="21.75" customHeight="1">
      <c r="A162" s="173" t="s">
        <v>3250</v>
      </c>
      <c r="B162" s="163" t="s">
        <v>2132</v>
      </c>
      <c r="C162" s="1033" t="s">
        <v>3198</v>
      </c>
      <c r="D162" s="165" t="s">
        <v>1452</v>
      </c>
      <c r="E162" s="550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>
        <v>5</v>
      </c>
      <c r="P162" s="176">
        <v>62.86</v>
      </c>
      <c r="Q162" s="999">
        <f t="shared" si="6"/>
        <v>314.3</v>
      </c>
    </row>
    <row r="163" spans="1:17" s="168" customFormat="1" ht="21.75" customHeight="1">
      <c r="A163" s="173" t="s">
        <v>3251</v>
      </c>
      <c r="B163" s="163" t="s">
        <v>2133</v>
      </c>
      <c r="C163" s="1033" t="s">
        <v>3199</v>
      </c>
      <c r="D163" s="165" t="s">
        <v>1452</v>
      </c>
      <c r="E163" s="550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>
        <v>4</v>
      </c>
      <c r="P163" s="176">
        <v>66.569999999999993</v>
      </c>
      <c r="Q163" s="999">
        <f t="shared" si="6"/>
        <v>266.27999999999997</v>
      </c>
    </row>
    <row r="164" spans="1:17" s="168" customFormat="1" ht="67.5" customHeight="1">
      <c r="A164" s="173" t="s">
        <v>3252</v>
      </c>
      <c r="B164" s="163" t="s">
        <v>3200</v>
      </c>
      <c r="C164" s="1033" t="s">
        <v>3201</v>
      </c>
      <c r="D164" s="165" t="s">
        <v>1452</v>
      </c>
      <c r="E164" s="550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>
        <v>1</v>
      </c>
      <c r="P164" s="176">
        <v>54243.48</v>
      </c>
      <c r="Q164" s="999">
        <f t="shared" si="6"/>
        <v>54243.48</v>
      </c>
    </row>
    <row r="165" spans="1:17" s="168" customFormat="1" ht="52.5" customHeight="1">
      <c r="A165" s="173" t="s">
        <v>3253</v>
      </c>
      <c r="B165" s="163" t="s">
        <v>3202</v>
      </c>
      <c r="C165" s="1033" t="s">
        <v>3203</v>
      </c>
      <c r="D165" s="165" t="s">
        <v>4</v>
      </c>
      <c r="E165" s="550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>
        <v>12</v>
      </c>
      <c r="P165" s="176">
        <v>16.55</v>
      </c>
      <c r="Q165" s="999">
        <f t="shared" si="6"/>
        <v>198.6</v>
      </c>
    </row>
    <row r="166" spans="1:17" s="168" customFormat="1" ht="52.5" customHeight="1">
      <c r="A166" s="173" t="s">
        <v>3254</v>
      </c>
      <c r="B166" s="163" t="s">
        <v>3204</v>
      </c>
      <c r="C166" s="1033" t="s">
        <v>3205</v>
      </c>
      <c r="D166" s="165" t="s">
        <v>4</v>
      </c>
      <c r="E166" s="550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>
        <v>126</v>
      </c>
      <c r="P166" s="176">
        <v>11.16</v>
      </c>
      <c r="Q166" s="999">
        <f t="shared" si="6"/>
        <v>1406.16</v>
      </c>
    </row>
    <row r="167" spans="1:17" s="168" customFormat="1" ht="52.5" customHeight="1">
      <c r="A167" s="173" t="s">
        <v>3255</v>
      </c>
      <c r="B167" s="163" t="s">
        <v>3206</v>
      </c>
      <c r="C167" s="1033" t="s">
        <v>3207</v>
      </c>
      <c r="D167" s="165" t="s">
        <v>4</v>
      </c>
      <c r="E167" s="550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>
        <v>137</v>
      </c>
      <c r="P167" s="176">
        <v>6.87</v>
      </c>
      <c r="Q167" s="999">
        <f t="shared" si="6"/>
        <v>941.19</v>
      </c>
    </row>
    <row r="168" spans="1:17" s="168" customFormat="1" ht="52.5" customHeight="1">
      <c r="A168" s="173" t="s">
        <v>3256</v>
      </c>
      <c r="B168" s="163" t="s">
        <v>3208</v>
      </c>
      <c r="C168" s="1033" t="s">
        <v>3209</v>
      </c>
      <c r="D168" s="165" t="s">
        <v>4</v>
      </c>
      <c r="E168" s="550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>
        <v>163.5</v>
      </c>
      <c r="P168" s="176">
        <v>19.73</v>
      </c>
      <c r="Q168" s="999">
        <f t="shared" si="6"/>
        <v>3225.85</v>
      </c>
    </row>
    <row r="169" spans="1:17" s="168" customFormat="1" ht="21.75" customHeight="1">
      <c r="A169" s="173" t="s">
        <v>3257</v>
      </c>
      <c r="B169" s="163" t="s">
        <v>3210</v>
      </c>
      <c r="C169" s="1033" t="s">
        <v>3211</v>
      </c>
      <c r="D169" s="165" t="s">
        <v>121</v>
      </c>
      <c r="E169" s="550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>
        <v>2</v>
      </c>
      <c r="P169" s="176">
        <v>510.08</v>
      </c>
      <c r="Q169" s="999">
        <f t="shared" si="6"/>
        <v>1020.16</v>
      </c>
    </row>
    <row r="170" spans="1:17" s="168" customFormat="1" ht="21.75" customHeight="1">
      <c r="A170" s="173" t="s">
        <v>3258</v>
      </c>
      <c r="B170" s="163" t="s">
        <v>3212</v>
      </c>
      <c r="C170" s="1033" t="s">
        <v>3213</v>
      </c>
      <c r="D170" s="165" t="s">
        <v>121</v>
      </c>
      <c r="E170" s="550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>
        <v>25</v>
      </c>
      <c r="P170" s="176">
        <v>246.8</v>
      </c>
      <c r="Q170" s="999">
        <f t="shared" si="6"/>
        <v>6170</v>
      </c>
    </row>
    <row r="171" spans="1:17" s="168" customFormat="1" ht="39.75" customHeight="1">
      <c r="A171" s="173" t="s">
        <v>3259</v>
      </c>
      <c r="B171" s="163" t="s">
        <v>3214</v>
      </c>
      <c r="C171" s="1033" t="s">
        <v>3215</v>
      </c>
      <c r="D171" s="165" t="s">
        <v>121</v>
      </c>
      <c r="E171" s="550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>
        <v>1</v>
      </c>
      <c r="P171" s="176">
        <v>656.71</v>
      </c>
      <c r="Q171" s="999">
        <f t="shared" si="6"/>
        <v>656.71</v>
      </c>
    </row>
    <row r="172" spans="1:17" s="168" customFormat="1" ht="39.75" customHeight="1">
      <c r="A172" s="173" t="s">
        <v>3260</v>
      </c>
      <c r="B172" s="163" t="s">
        <v>3216</v>
      </c>
      <c r="C172" s="1033" t="s">
        <v>3217</v>
      </c>
      <c r="D172" s="165" t="s">
        <v>121</v>
      </c>
      <c r="E172" s="550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>
        <v>1</v>
      </c>
      <c r="P172" s="176">
        <v>12451.23</v>
      </c>
      <c r="Q172" s="999">
        <f t="shared" si="6"/>
        <v>12451.23</v>
      </c>
    </row>
    <row r="173" spans="1:17" s="168" customFormat="1" ht="39.75" customHeight="1">
      <c r="A173" s="173" t="s">
        <v>3261</v>
      </c>
      <c r="B173" s="163" t="s">
        <v>3218</v>
      </c>
      <c r="C173" s="1033" t="s">
        <v>3219</v>
      </c>
      <c r="D173" s="165" t="s">
        <v>3220</v>
      </c>
      <c r="E173" s="550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>
        <v>72</v>
      </c>
      <c r="P173" s="176">
        <v>117.75</v>
      </c>
      <c r="Q173" s="999">
        <f t="shared" si="6"/>
        <v>8478</v>
      </c>
    </row>
    <row r="174" spans="1:17" s="168" customFormat="1" ht="39.75" customHeight="1">
      <c r="A174" s="173" t="s">
        <v>3262</v>
      </c>
      <c r="B174" s="163" t="s">
        <v>3221</v>
      </c>
      <c r="C174" s="1033" t="s">
        <v>3222</v>
      </c>
      <c r="D174" s="165" t="s">
        <v>4</v>
      </c>
      <c r="E174" s="550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>
        <v>24</v>
      </c>
      <c r="P174" s="176">
        <v>60.59</v>
      </c>
      <c r="Q174" s="999">
        <f t="shared" si="6"/>
        <v>1454.16</v>
      </c>
    </row>
    <row r="175" spans="1:17" s="168" customFormat="1" ht="39.75" customHeight="1">
      <c r="A175" s="173" t="s">
        <v>3263</v>
      </c>
      <c r="B175" s="163"/>
      <c r="C175" s="1033" t="s">
        <v>3223</v>
      </c>
      <c r="D175" s="165" t="s">
        <v>4</v>
      </c>
      <c r="E175" s="550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>
        <v>175</v>
      </c>
      <c r="P175" s="176">
        <v>24.28</v>
      </c>
      <c r="Q175" s="999">
        <f t="shared" si="6"/>
        <v>4249</v>
      </c>
    </row>
    <row r="176" spans="1:17" s="168" customFormat="1" ht="39.75" customHeight="1">
      <c r="A176" s="173" t="s">
        <v>3264</v>
      </c>
      <c r="B176" s="163"/>
      <c r="C176" s="1033" t="s">
        <v>3224</v>
      </c>
      <c r="D176" s="165" t="s">
        <v>4</v>
      </c>
      <c r="E176" s="550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>
        <v>1890</v>
      </c>
      <c r="P176" s="176">
        <v>18.16</v>
      </c>
      <c r="Q176" s="999">
        <f t="shared" si="6"/>
        <v>34322.400000000001</v>
      </c>
    </row>
    <row r="177" spans="1:17" s="168" customFormat="1" ht="39.75" customHeight="1">
      <c r="A177" s="173" t="s">
        <v>3265</v>
      </c>
      <c r="B177" s="163"/>
      <c r="C177" s="1033" t="s">
        <v>3225</v>
      </c>
      <c r="D177" s="165" t="s">
        <v>4</v>
      </c>
      <c r="E177" s="550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>
        <v>1435</v>
      </c>
      <c r="P177" s="176">
        <v>10.65</v>
      </c>
      <c r="Q177" s="999">
        <f t="shared" si="6"/>
        <v>15282.75</v>
      </c>
    </row>
    <row r="178" spans="1:17" s="168" customFormat="1" ht="39.75" customHeight="1">
      <c r="A178" s="173" t="s">
        <v>3266</v>
      </c>
      <c r="B178" s="163"/>
      <c r="C178" s="1033" t="s">
        <v>3226</v>
      </c>
      <c r="D178" s="165" t="s">
        <v>4</v>
      </c>
      <c r="E178" s="550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>
        <v>2350</v>
      </c>
      <c r="P178" s="176">
        <v>5.4</v>
      </c>
      <c r="Q178" s="999">
        <f t="shared" si="6"/>
        <v>12690</v>
      </c>
    </row>
    <row r="179" spans="1:17" s="168" customFormat="1" ht="52.5" customHeight="1">
      <c r="A179" s="173" t="s">
        <v>3358</v>
      </c>
      <c r="B179" s="163" t="s">
        <v>3227</v>
      </c>
      <c r="C179" s="1033" t="s">
        <v>3228</v>
      </c>
      <c r="D179" s="165" t="s">
        <v>1452</v>
      </c>
      <c r="E179" s="550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>
        <v>55</v>
      </c>
      <c r="P179" s="176">
        <v>132.36000000000001</v>
      </c>
      <c r="Q179" s="999">
        <f t="shared" si="6"/>
        <v>7279.8</v>
      </c>
    </row>
    <row r="180" spans="1:17" s="168" customFormat="1" ht="52.5" customHeight="1">
      <c r="A180" s="173" t="s">
        <v>3359</v>
      </c>
      <c r="B180" s="163" t="s">
        <v>175</v>
      </c>
      <c r="C180" s="1033" t="s">
        <v>174</v>
      </c>
      <c r="D180" s="165" t="s">
        <v>1452</v>
      </c>
      <c r="E180" s="550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>
        <v>1</v>
      </c>
      <c r="P180" s="176">
        <v>647.21</v>
      </c>
      <c r="Q180" s="999">
        <f t="shared" si="6"/>
        <v>647.21</v>
      </c>
    </row>
    <row r="181" spans="1:17" s="168" customFormat="1" ht="19.649999999999999" customHeight="1">
      <c r="A181" s="173" t="s">
        <v>3360</v>
      </c>
      <c r="B181" s="163" t="s">
        <v>3229</v>
      </c>
      <c r="C181" s="1033" t="s">
        <v>1969</v>
      </c>
      <c r="D181" s="165" t="s">
        <v>1452</v>
      </c>
      <c r="E181" s="550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>
        <v>4</v>
      </c>
      <c r="P181" s="176">
        <v>67.739999999999995</v>
      </c>
      <c r="Q181" s="999">
        <f t="shared" si="6"/>
        <v>270.95999999999998</v>
      </c>
    </row>
    <row r="182" spans="1:17" s="168" customFormat="1" ht="19.5" customHeight="1">
      <c r="A182" s="173" t="s">
        <v>3361</v>
      </c>
      <c r="B182" s="163" t="s">
        <v>3230</v>
      </c>
      <c r="C182" s="1033" t="s">
        <v>1967</v>
      </c>
      <c r="D182" s="165" t="s">
        <v>1452</v>
      </c>
      <c r="E182" s="550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>
        <v>26</v>
      </c>
      <c r="P182" s="176">
        <v>69.61</v>
      </c>
      <c r="Q182" s="999">
        <f t="shared" si="6"/>
        <v>1809.86</v>
      </c>
    </row>
    <row r="183" spans="1:17" s="168" customFormat="1" ht="22.5" customHeight="1">
      <c r="A183" s="173" t="s">
        <v>3362</v>
      </c>
      <c r="B183" s="163" t="s">
        <v>2991</v>
      </c>
      <c r="C183" s="1033" t="s">
        <v>1968</v>
      </c>
      <c r="D183" s="165" t="s">
        <v>1452</v>
      </c>
      <c r="E183" s="550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>
        <v>1</v>
      </c>
      <c r="P183" s="176">
        <v>111.5</v>
      </c>
      <c r="Q183" s="999">
        <f t="shared" si="6"/>
        <v>111.5</v>
      </c>
    </row>
    <row r="184" spans="1:17" s="168" customFormat="1" ht="30.75" customHeight="1">
      <c r="A184" s="173" t="s">
        <v>3363</v>
      </c>
      <c r="B184" s="163" t="s">
        <v>3231</v>
      </c>
      <c r="C184" s="1033" t="s">
        <v>1970</v>
      </c>
      <c r="D184" s="165" t="s">
        <v>1452</v>
      </c>
      <c r="E184" s="550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>
        <v>1</v>
      </c>
      <c r="P184" s="176">
        <v>161.41</v>
      </c>
      <c r="Q184" s="999">
        <f t="shared" si="6"/>
        <v>161.41</v>
      </c>
    </row>
    <row r="185" spans="1:17" s="168" customFormat="1" ht="27.75" customHeight="1">
      <c r="A185" s="173" t="s">
        <v>3364</v>
      </c>
      <c r="B185" s="163" t="s">
        <v>3232</v>
      </c>
      <c r="C185" s="1033" t="s">
        <v>1971</v>
      </c>
      <c r="D185" s="165" t="s">
        <v>391</v>
      </c>
      <c r="E185" s="550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>
        <v>8</v>
      </c>
      <c r="P185" s="176">
        <v>93.81</v>
      </c>
      <c r="Q185" s="999">
        <f t="shared" si="6"/>
        <v>750.48</v>
      </c>
    </row>
    <row r="186" spans="1:17" s="168" customFormat="1" ht="32.25" customHeight="1">
      <c r="A186" s="173" t="s">
        <v>3365</v>
      </c>
      <c r="B186" s="163" t="s">
        <v>3233</v>
      </c>
      <c r="C186" s="1033" t="s">
        <v>1973</v>
      </c>
      <c r="D186" s="165" t="s">
        <v>391</v>
      </c>
      <c r="E186" s="550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>
        <v>48.15</v>
      </c>
      <c r="P186" s="176">
        <v>51.32</v>
      </c>
      <c r="Q186" s="999">
        <f t="shared" si="6"/>
        <v>2471.0500000000002</v>
      </c>
    </row>
    <row r="187" spans="1:17" s="168" customFormat="1" ht="29.25" customHeight="1">
      <c r="A187" s="173" t="s">
        <v>3366</v>
      </c>
      <c r="B187" s="163" t="s">
        <v>3234</v>
      </c>
      <c r="C187" s="1033" t="s">
        <v>1974</v>
      </c>
      <c r="D187" s="165" t="s">
        <v>391</v>
      </c>
      <c r="E187" s="550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>
        <v>55.85</v>
      </c>
      <c r="P187" s="176">
        <v>25</v>
      </c>
      <c r="Q187" s="999">
        <f t="shared" si="6"/>
        <v>1396.25</v>
      </c>
    </row>
    <row r="188" spans="1:17" s="168" customFormat="1" ht="27.75" customHeight="1">
      <c r="A188" s="173" t="s">
        <v>3367</v>
      </c>
      <c r="B188" s="163" t="s">
        <v>3235</v>
      </c>
      <c r="C188" s="1033" t="s">
        <v>1975</v>
      </c>
      <c r="D188" s="165" t="s">
        <v>391</v>
      </c>
      <c r="E188" s="550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>
        <v>22.85</v>
      </c>
      <c r="P188" s="176">
        <v>13.22</v>
      </c>
      <c r="Q188" s="999">
        <f t="shared" si="6"/>
        <v>302.07</v>
      </c>
    </row>
    <row r="189" spans="1:17" s="168" customFormat="1" ht="22.65" customHeight="1">
      <c r="A189" s="173" t="s">
        <v>3368</v>
      </c>
      <c r="B189" s="163" t="s">
        <v>3236</v>
      </c>
      <c r="C189" s="1033" t="s">
        <v>1977</v>
      </c>
      <c r="D189" s="165" t="s">
        <v>391</v>
      </c>
      <c r="E189" s="550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>
        <v>8.6999999999999993</v>
      </c>
      <c r="P189" s="176">
        <v>28.02</v>
      </c>
      <c r="Q189" s="999">
        <f t="shared" si="6"/>
        <v>243.77</v>
      </c>
    </row>
    <row r="190" spans="1:17" s="168" customFormat="1" ht="22.65" customHeight="1">
      <c r="A190" s="173" t="s">
        <v>3369</v>
      </c>
      <c r="B190" s="163" t="s">
        <v>3237</v>
      </c>
      <c r="C190" s="1033" t="s">
        <v>1976</v>
      </c>
      <c r="D190" s="165" t="s">
        <v>391</v>
      </c>
      <c r="E190" s="550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>
        <v>225.8</v>
      </c>
      <c r="P190" s="176">
        <v>20.21</v>
      </c>
      <c r="Q190" s="999">
        <f t="shared" si="6"/>
        <v>4563.41</v>
      </c>
    </row>
    <row r="191" spans="1:17" s="168" customFormat="1" ht="27" customHeight="1">
      <c r="A191" s="248"/>
      <c r="B191" s="704"/>
      <c r="C191" s="703" t="s">
        <v>2594</v>
      </c>
      <c r="D191" s="265"/>
      <c r="E191" s="265"/>
      <c r="F191" s="558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54">
        <f>SUM(Q118:Q190)</f>
        <v>420382.14999999985</v>
      </c>
    </row>
    <row r="192" spans="1:17" s="168" customFormat="1" ht="29.25" customHeight="1">
      <c r="A192" s="209" t="s">
        <v>987</v>
      </c>
      <c r="B192" s="225"/>
      <c r="C192" s="206" t="s">
        <v>1158</v>
      </c>
      <c r="D192" s="251"/>
      <c r="E192" s="549"/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4"/>
      <c r="Q192" s="254"/>
    </row>
    <row r="193" spans="1:17" s="168" customFormat="1" ht="52.5" customHeight="1">
      <c r="A193" s="162" t="s">
        <v>1164</v>
      </c>
      <c r="B193" s="163" t="s">
        <v>166</v>
      </c>
      <c r="C193" s="190" t="s">
        <v>1657</v>
      </c>
      <c r="D193" s="170" t="s">
        <v>1452</v>
      </c>
      <c r="E193" s="537">
        <f>2+1+1+(2*7)+6+(8*2)+2</f>
        <v>42</v>
      </c>
      <c r="F193" s="166"/>
      <c r="G193" s="166"/>
      <c r="H193" s="166">
        <f>2+11</f>
        <v>13</v>
      </c>
      <c r="I193" s="166"/>
      <c r="J193" s="166"/>
      <c r="K193" s="166"/>
      <c r="L193" s="166"/>
      <c r="M193" s="166"/>
      <c r="N193" s="166"/>
      <c r="O193" s="166">
        <v>55</v>
      </c>
      <c r="P193" s="994">
        <f>COMPOSIÇÕES!B2401</f>
        <v>132.35595000000001</v>
      </c>
      <c r="Q193" s="999">
        <f t="shared" ref="Q193:Q206" si="8">TRUNC(O193*P193,2)</f>
        <v>7279.57</v>
      </c>
    </row>
    <row r="194" spans="1:17" s="168" customFormat="1" ht="49.5" customHeight="1">
      <c r="A194" s="162" t="s">
        <v>1165</v>
      </c>
      <c r="B194" s="163" t="s">
        <v>175</v>
      </c>
      <c r="C194" s="177" t="s">
        <v>174</v>
      </c>
      <c r="D194" s="165" t="s">
        <v>1452</v>
      </c>
      <c r="E194" s="537"/>
      <c r="F194" s="166"/>
      <c r="G194" s="166"/>
      <c r="H194" s="166"/>
      <c r="I194" s="166"/>
      <c r="J194" s="166"/>
      <c r="K194" s="166"/>
      <c r="L194" s="166"/>
      <c r="M194" s="166"/>
      <c r="N194" s="166">
        <v>1</v>
      </c>
      <c r="O194" s="166">
        <v>1</v>
      </c>
      <c r="P194" s="994">
        <f>COMPOSIÇÕES!B2452</f>
        <v>647.21325000000002</v>
      </c>
      <c r="Q194" s="999">
        <f t="shared" si="8"/>
        <v>647.21</v>
      </c>
    </row>
    <row r="195" spans="1:17" s="168" customFormat="1" ht="18.899999999999999" customHeight="1">
      <c r="A195" s="162" t="s">
        <v>1166</v>
      </c>
      <c r="B195" s="163" t="s">
        <v>2994</v>
      </c>
      <c r="C195" s="177" t="s">
        <v>1969</v>
      </c>
      <c r="D195" s="165" t="s">
        <v>1452</v>
      </c>
      <c r="E195" s="537">
        <v>2</v>
      </c>
      <c r="F195" s="166"/>
      <c r="G195" s="166"/>
      <c r="H195" s="166">
        <v>2</v>
      </c>
      <c r="I195" s="166"/>
      <c r="J195" s="166"/>
      <c r="K195" s="166"/>
      <c r="L195" s="166"/>
      <c r="M195" s="166"/>
      <c r="N195" s="166"/>
      <c r="O195" s="166">
        <v>4</v>
      </c>
      <c r="P195" s="994">
        <f>COMPOSIÇÕES!B1095</f>
        <v>67.74045000000001</v>
      </c>
      <c r="Q195" s="999">
        <f t="shared" si="8"/>
        <v>270.95999999999998</v>
      </c>
    </row>
    <row r="196" spans="1:17" s="168" customFormat="1" ht="18.899999999999999" customHeight="1">
      <c r="A196" s="162" t="s">
        <v>1167</v>
      </c>
      <c r="B196" s="163" t="s">
        <v>2135</v>
      </c>
      <c r="C196" s="177" t="s">
        <v>1967</v>
      </c>
      <c r="D196" s="165" t="s">
        <v>1452</v>
      </c>
      <c r="E196" s="537">
        <f>1+1+1+(2*7)+2</f>
        <v>19</v>
      </c>
      <c r="F196" s="166"/>
      <c r="G196" s="166"/>
      <c r="H196" s="166">
        <v>27</v>
      </c>
      <c r="I196" s="166"/>
      <c r="J196" s="166"/>
      <c r="K196" s="166"/>
      <c r="L196" s="166"/>
      <c r="M196" s="166"/>
      <c r="N196" s="166"/>
      <c r="O196" s="166">
        <v>26</v>
      </c>
      <c r="P196" s="994">
        <f>COMPOSIÇÕES!B1076</f>
        <v>69.607950000000002</v>
      </c>
      <c r="Q196" s="999">
        <f t="shared" si="8"/>
        <v>1809.8</v>
      </c>
    </row>
    <row r="197" spans="1:17" s="168" customFormat="1" ht="21.9" customHeight="1">
      <c r="A197" s="162" t="s">
        <v>1168</v>
      </c>
      <c r="B197" s="163" t="s">
        <v>2991</v>
      </c>
      <c r="C197" s="177" t="s">
        <v>1968</v>
      </c>
      <c r="D197" s="165" t="s">
        <v>1452</v>
      </c>
      <c r="E197" s="537"/>
      <c r="F197" s="166"/>
      <c r="G197" s="166"/>
      <c r="H197" s="166">
        <v>1</v>
      </c>
      <c r="I197" s="166"/>
      <c r="J197" s="166"/>
      <c r="K197" s="166"/>
      <c r="L197" s="166"/>
      <c r="M197" s="166"/>
      <c r="N197" s="166"/>
      <c r="O197" s="166">
        <v>1</v>
      </c>
      <c r="P197" s="994">
        <f>COMPOSIÇÕES!B985</f>
        <v>111.5022</v>
      </c>
      <c r="Q197" s="999">
        <f t="shared" si="8"/>
        <v>111.5</v>
      </c>
    </row>
    <row r="198" spans="1:17" s="168" customFormat="1" ht="21.9" customHeight="1">
      <c r="A198" s="162" t="s">
        <v>2014</v>
      </c>
      <c r="B198" s="163" t="s">
        <v>2996</v>
      </c>
      <c r="C198" s="177" t="s">
        <v>1970</v>
      </c>
      <c r="D198" s="165" t="s">
        <v>1452</v>
      </c>
      <c r="E198" s="537"/>
      <c r="F198" s="166"/>
      <c r="G198" s="166"/>
      <c r="H198" s="166"/>
      <c r="I198" s="166"/>
      <c r="J198" s="166"/>
      <c r="K198" s="166"/>
      <c r="L198" s="166"/>
      <c r="M198" s="166"/>
      <c r="N198" s="166">
        <v>1</v>
      </c>
      <c r="O198" s="166">
        <v>1</v>
      </c>
      <c r="P198" s="994">
        <f>COMPOSIÇÕES!B1129</f>
        <v>161.41425000000001</v>
      </c>
      <c r="Q198" s="999">
        <f t="shared" si="8"/>
        <v>161.41</v>
      </c>
    </row>
    <row r="199" spans="1:17" s="168" customFormat="1" ht="21.9" customHeight="1">
      <c r="A199" s="162" t="s">
        <v>2015</v>
      </c>
      <c r="B199" s="163" t="s">
        <v>2136</v>
      </c>
      <c r="C199" s="177" t="s">
        <v>1971</v>
      </c>
      <c r="D199" s="165" t="s">
        <v>1452</v>
      </c>
      <c r="E199" s="537"/>
      <c r="F199" s="166"/>
      <c r="G199" s="166"/>
      <c r="H199" s="166"/>
      <c r="I199" s="166"/>
      <c r="J199" s="166"/>
      <c r="K199" s="166"/>
      <c r="L199" s="166"/>
      <c r="M199" s="166"/>
      <c r="N199" s="166">
        <v>1</v>
      </c>
      <c r="O199" s="166">
        <v>1</v>
      </c>
      <c r="P199" s="994">
        <f>COMPOSIÇÕES!B1148</f>
        <v>295.10235000000006</v>
      </c>
      <c r="Q199" s="999">
        <f t="shared" si="8"/>
        <v>295.10000000000002</v>
      </c>
    </row>
    <row r="200" spans="1:17" s="168" customFormat="1" ht="21.75" customHeight="1">
      <c r="A200" s="162" t="s">
        <v>2016</v>
      </c>
      <c r="B200" s="163" t="s">
        <v>1798</v>
      </c>
      <c r="C200" s="177" t="s">
        <v>2044</v>
      </c>
      <c r="D200" s="165" t="s">
        <v>1452</v>
      </c>
      <c r="E200" s="537">
        <v>14</v>
      </c>
      <c r="F200" s="166"/>
      <c r="G200" s="166"/>
      <c r="H200" s="166"/>
      <c r="I200" s="166"/>
      <c r="J200" s="166"/>
      <c r="K200" s="166"/>
      <c r="L200" s="166"/>
      <c r="M200" s="166"/>
      <c r="N200" s="166"/>
      <c r="O200" s="166">
        <v>14</v>
      </c>
      <c r="P200" s="994">
        <f>COMPOSIÇÕES!B2796</f>
        <v>238.33035000000001</v>
      </c>
      <c r="Q200" s="999">
        <f t="shared" si="8"/>
        <v>3336.62</v>
      </c>
    </row>
    <row r="201" spans="1:17" s="168" customFormat="1" ht="21.9" customHeight="1">
      <c r="A201" s="162" t="s">
        <v>2017</v>
      </c>
      <c r="B201" s="163" t="s">
        <v>2142</v>
      </c>
      <c r="C201" s="177" t="s">
        <v>1972</v>
      </c>
      <c r="D201" s="165" t="s">
        <v>391</v>
      </c>
      <c r="E201" s="537"/>
      <c r="F201" s="166"/>
      <c r="G201" s="166"/>
      <c r="H201" s="166"/>
      <c r="I201" s="166"/>
      <c r="J201" s="166"/>
      <c r="K201" s="166"/>
      <c r="L201" s="166"/>
      <c r="M201" s="166"/>
      <c r="N201" s="166">
        <v>8</v>
      </c>
      <c r="O201" s="166">
        <v>8</v>
      </c>
      <c r="P201" s="994">
        <f>COMPOSIÇÕES!B1167</f>
        <v>93.810749999999985</v>
      </c>
      <c r="Q201" s="999">
        <f t="shared" si="8"/>
        <v>750.48</v>
      </c>
    </row>
    <row r="202" spans="1:17" s="168" customFormat="1" ht="21.9" customHeight="1">
      <c r="A202" s="162" t="s">
        <v>2018</v>
      </c>
      <c r="B202" s="163" t="s">
        <v>2141</v>
      </c>
      <c r="C202" s="177" t="s">
        <v>1973</v>
      </c>
      <c r="D202" s="165" t="s">
        <v>391</v>
      </c>
      <c r="E202" s="537"/>
      <c r="F202" s="166"/>
      <c r="G202" s="166"/>
      <c r="H202" s="166"/>
      <c r="I202" s="166"/>
      <c r="J202" s="166"/>
      <c r="K202" s="166"/>
      <c r="L202" s="166"/>
      <c r="M202" s="166"/>
      <c r="N202" s="166">
        <v>48.15</v>
      </c>
      <c r="O202" s="166">
        <v>48.15</v>
      </c>
      <c r="P202" s="994">
        <f>COMPOSIÇÕES!B1186</f>
        <v>51.318899999999999</v>
      </c>
      <c r="Q202" s="999">
        <f t="shared" si="8"/>
        <v>2471</v>
      </c>
    </row>
    <row r="203" spans="1:17" s="168" customFormat="1" ht="21.9" customHeight="1">
      <c r="A203" s="162" t="s">
        <v>2019</v>
      </c>
      <c r="B203" s="163" t="s">
        <v>2140</v>
      </c>
      <c r="C203" s="177" t="s">
        <v>1974</v>
      </c>
      <c r="D203" s="165" t="s">
        <v>391</v>
      </c>
      <c r="E203" s="537"/>
      <c r="F203" s="166"/>
      <c r="G203" s="166"/>
      <c r="H203" s="166"/>
      <c r="I203" s="166"/>
      <c r="J203" s="166"/>
      <c r="K203" s="166"/>
      <c r="L203" s="166"/>
      <c r="M203" s="166"/>
      <c r="N203" s="166">
        <v>55.85</v>
      </c>
      <c r="O203" s="166">
        <v>55.85</v>
      </c>
      <c r="P203" s="994">
        <f>COMPOSIÇÕES!B1205</f>
        <v>24.999600000000001</v>
      </c>
      <c r="Q203" s="999">
        <f t="shared" si="8"/>
        <v>1396.22</v>
      </c>
    </row>
    <row r="204" spans="1:17" s="168" customFormat="1" ht="21.9" customHeight="1">
      <c r="A204" s="162" t="s">
        <v>2020</v>
      </c>
      <c r="B204" s="163" t="s">
        <v>2139</v>
      </c>
      <c r="C204" s="177" t="s">
        <v>1975</v>
      </c>
      <c r="D204" s="165" t="s">
        <v>391</v>
      </c>
      <c r="E204" s="537"/>
      <c r="F204" s="166"/>
      <c r="G204" s="166"/>
      <c r="H204" s="166"/>
      <c r="I204" s="166"/>
      <c r="J204" s="166"/>
      <c r="K204" s="166"/>
      <c r="L204" s="166"/>
      <c r="M204" s="166"/>
      <c r="N204" s="166">
        <v>22.85</v>
      </c>
      <c r="O204" s="166">
        <v>22.85</v>
      </c>
      <c r="P204" s="994">
        <f>COMPOSIÇÕES!B1224</f>
        <v>13.221899999999998</v>
      </c>
      <c r="Q204" s="999">
        <f t="shared" si="8"/>
        <v>302.12</v>
      </c>
    </row>
    <row r="205" spans="1:17" s="168" customFormat="1" ht="21.9" customHeight="1">
      <c r="A205" s="162" t="s">
        <v>2021</v>
      </c>
      <c r="B205" s="163" t="s">
        <v>2138</v>
      </c>
      <c r="C205" s="177" t="s">
        <v>1977</v>
      </c>
      <c r="D205" s="165" t="s">
        <v>391</v>
      </c>
      <c r="E205" s="537"/>
      <c r="F205" s="166"/>
      <c r="G205" s="166"/>
      <c r="H205" s="166"/>
      <c r="I205" s="166"/>
      <c r="J205" s="166"/>
      <c r="K205" s="166"/>
      <c r="L205" s="166"/>
      <c r="M205" s="166"/>
      <c r="N205" s="166">
        <v>8.6999999999999993</v>
      </c>
      <c r="O205" s="166">
        <v>8.6999999999999993</v>
      </c>
      <c r="P205" s="994">
        <f>COMPOSIÇÕES!B1243</f>
        <v>28.024949999999997</v>
      </c>
      <c r="Q205" s="999">
        <f t="shared" si="8"/>
        <v>243.81</v>
      </c>
    </row>
    <row r="206" spans="1:17" s="168" customFormat="1" ht="21.9" customHeight="1">
      <c r="A206" s="162" t="s">
        <v>2022</v>
      </c>
      <c r="B206" s="163" t="s">
        <v>2137</v>
      </c>
      <c r="C206" s="177" t="s">
        <v>1976</v>
      </c>
      <c r="D206" s="165" t="s">
        <v>391</v>
      </c>
      <c r="E206" s="537"/>
      <c r="F206" s="166"/>
      <c r="G206" s="166"/>
      <c r="H206" s="166"/>
      <c r="I206" s="166"/>
      <c r="J206" s="166"/>
      <c r="K206" s="166"/>
      <c r="L206" s="166"/>
      <c r="M206" s="166"/>
      <c r="N206" s="166">
        <v>225.8</v>
      </c>
      <c r="O206" s="166">
        <v>225.8</v>
      </c>
      <c r="P206" s="994">
        <f>COMPOSIÇÕES!B1262</f>
        <v>20.20635</v>
      </c>
      <c r="Q206" s="999">
        <f t="shared" si="8"/>
        <v>4562.59</v>
      </c>
    </row>
    <row r="207" spans="1:17" s="168" customFormat="1" ht="24.75" customHeight="1">
      <c r="A207" s="263"/>
      <c r="B207" s="704"/>
      <c r="C207" s="703" t="s">
        <v>2593</v>
      </c>
      <c r="D207" s="265"/>
      <c r="E207" s="558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7"/>
      <c r="Q207" s="254">
        <f>SUM(Q193:Q206)</f>
        <v>23638.39</v>
      </c>
    </row>
    <row r="208" spans="1:17" s="168" customFormat="1" ht="24.75" customHeight="1">
      <c r="A208" s="209" t="s">
        <v>1159</v>
      </c>
      <c r="B208" s="225"/>
      <c r="C208" s="206" t="s">
        <v>1160</v>
      </c>
      <c r="D208" s="251"/>
      <c r="E208" s="549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4"/>
      <c r="Q208" s="254"/>
    </row>
    <row r="209" spans="1:17" s="168" customFormat="1" ht="28.5" customHeight="1">
      <c r="A209" s="162" t="s">
        <v>1169</v>
      </c>
      <c r="B209" s="268" t="s">
        <v>284</v>
      </c>
      <c r="C209" s="177" t="s">
        <v>283</v>
      </c>
      <c r="D209" s="170" t="s">
        <v>1452</v>
      </c>
      <c r="E209" s="537">
        <v>14</v>
      </c>
      <c r="F209" s="537"/>
      <c r="G209" s="166"/>
      <c r="H209" s="166">
        <v>2</v>
      </c>
      <c r="I209" s="166"/>
      <c r="J209" s="166"/>
      <c r="K209" s="166"/>
      <c r="L209" s="166"/>
      <c r="M209" s="166"/>
      <c r="N209" s="166"/>
      <c r="O209" s="166">
        <v>16</v>
      </c>
      <c r="P209" s="994">
        <f>COMPOSIÇÕES!B3232</f>
        <v>208.05195000000003</v>
      </c>
      <c r="Q209" s="999">
        <f t="shared" ref="Q209:Q232" si="9">TRUNC(O209*P209,2)</f>
        <v>3328.83</v>
      </c>
    </row>
    <row r="210" spans="1:17" s="168" customFormat="1" ht="30.75" customHeight="1">
      <c r="A210" s="162" t="s">
        <v>1170</v>
      </c>
      <c r="B210" s="268" t="s">
        <v>289</v>
      </c>
      <c r="C210" s="177" t="s">
        <v>288</v>
      </c>
      <c r="D210" s="170" t="s">
        <v>1452</v>
      </c>
      <c r="E210" s="537">
        <f>2+1+1+(2*7)+8+6</f>
        <v>32</v>
      </c>
      <c r="F210" s="166"/>
      <c r="G210" s="166"/>
      <c r="H210" s="166">
        <v>11</v>
      </c>
      <c r="I210" s="166"/>
      <c r="J210" s="166"/>
      <c r="K210" s="166"/>
      <c r="L210" s="166"/>
      <c r="M210" s="166"/>
      <c r="N210" s="166"/>
      <c r="O210" s="166">
        <v>43</v>
      </c>
      <c r="P210" s="994">
        <f>COMPOSIÇÕES!B3251</f>
        <v>135.31905</v>
      </c>
      <c r="Q210" s="999">
        <f t="shared" si="9"/>
        <v>5818.71</v>
      </c>
    </row>
    <row r="211" spans="1:17" s="168" customFormat="1" ht="24" customHeight="1">
      <c r="A211" s="162" t="s">
        <v>2998</v>
      </c>
      <c r="B211" s="163" t="s">
        <v>2182</v>
      </c>
      <c r="C211" s="177" t="s">
        <v>2386</v>
      </c>
      <c r="D211" s="170" t="s">
        <v>1452</v>
      </c>
      <c r="E211" s="537">
        <v>4</v>
      </c>
      <c r="F211" s="166"/>
      <c r="G211" s="166"/>
      <c r="H211" s="166">
        <v>2</v>
      </c>
      <c r="I211" s="166"/>
      <c r="J211" s="166"/>
      <c r="K211" s="166"/>
      <c r="L211" s="166"/>
      <c r="M211" s="166"/>
      <c r="N211" s="166"/>
      <c r="O211" s="166">
        <v>6</v>
      </c>
      <c r="P211" s="994">
        <f>COMPOSIÇÕES!B3297</f>
        <v>65.673749999999998</v>
      </c>
      <c r="Q211" s="999">
        <f t="shared" si="9"/>
        <v>394.04</v>
      </c>
    </row>
    <row r="212" spans="1:17" s="168" customFormat="1" ht="24" customHeight="1">
      <c r="A212" s="162" t="s">
        <v>2999</v>
      </c>
      <c r="B212" s="163" t="s">
        <v>2173</v>
      </c>
      <c r="C212" s="177" t="s">
        <v>2387</v>
      </c>
      <c r="D212" s="170" t="s">
        <v>1452</v>
      </c>
      <c r="E212" s="537"/>
      <c r="F212" s="166"/>
      <c r="G212" s="166"/>
      <c r="H212" s="166">
        <v>2</v>
      </c>
      <c r="I212" s="166"/>
      <c r="J212" s="166"/>
      <c r="K212" s="166"/>
      <c r="L212" s="166"/>
      <c r="M212" s="166"/>
      <c r="N212" s="166"/>
      <c r="O212" s="166">
        <v>2</v>
      </c>
      <c r="P212" s="994">
        <f>9.39*1.245</f>
        <v>11.690550000000002</v>
      </c>
      <c r="Q212" s="999">
        <f t="shared" si="9"/>
        <v>23.38</v>
      </c>
    </row>
    <row r="213" spans="1:17" s="168" customFormat="1" ht="63" customHeight="1">
      <c r="A213" s="162" t="s">
        <v>3000</v>
      </c>
      <c r="B213" s="163" t="s">
        <v>2702</v>
      </c>
      <c r="C213" s="255" t="s">
        <v>2310</v>
      </c>
      <c r="D213" s="170" t="s">
        <v>1452</v>
      </c>
      <c r="E213" s="537"/>
      <c r="F213" s="166"/>
      <c r="G213" s="166"/>
      <c r="H213" s="166">
        <v>1</v>
      </c>
      <c r="I213" s="166"/>
      <c r="J213" s="166"/>
      <c r="K213" s="166"/>
      <c r="L213" s="166"/>
      <c r="M213" s="166"/>
      <c r="N213" s="166"/>
      <c r="O213" s="166">
        <v>1</v>
      </c>
      <c r="P213" s="994">
        <f>1157.52*1.245</f>
        <v>1441.1124000000002</v>
      </c>
      <c r="Q213" s="999">
        <f t="shared" si="9"/>
        <v>1441.11</v>
      </c>
    </row>
    <row r="214" spans="1:17" s="168" customFormat="1" ht="21.9" customHeight="1">
      <c r="A214" s="162" t="s">
        <v>3001</v>
      </c>
      <c r="B214" s="163" t="s">
        <v>2456</v>
      </c>
      <c r="C214" s="177" t="s">
        <v>1986</v>
      </c>
      <c r="D214" s="170" t="s">
        <v>1452</v>
      </c>
      <c r="E214" s="537"/>
      <c r="F214" s="166"/>
      <c r="G214" s="166"/>
      <c r="H214" s="166"/>
      <c r="I214" s="166"/>
      <c r="J214" s="166"/>
      <c r="K214" s="166"/>
      <c r="L214" s="166"/>
      <c r="M214" s="166"/>
      <c r="N214" s="166">
        <v>4</v>
      </c>
      <c r="O214" s="166">
        <v>4</v>
      </c>
      <c r="P214" s="994">
        <f>COMPOSIÇÕES!B1562</f>
        <v>174.38067599999999</v>
      </c>
      <c r="Q214" s="999">
        <f t="shared" si="9"/>
        <v>697.52</v>
      </c>
    </row>
    <row r="215" spans="1:17" s="168" customFormat="1" ht="21.9" customHeight="1">
      <c r="A215" s="162" t="s">
        <v>3002</v>
      </c>
      <c r="B215" s="163" t="s">
        <v>3046</v>
      </c>
      <c r="C215" s="177" t="s">
        <v>2042</v>
      </c>
      <c r="D215" s="170" t="s">
        <v>1452</v>
      </c>
      <c r="E215" s="537"/>
      <c r="F215" s="166"/>
      <c r="G215" s="166"/>
      <c r="H215" s="166"/>
      <c r="I215" s="166"/>
      <c r="J215" s="166"/>
      <c r="K215" s="166"/>
      <c r="L215" s="166"/>
      <c r="M215" s="166"/>
      <c r="N215" s="166">
        <v>1</v>
      </c>
      <c r="O215" s="166">
        <v>1</v>
      </c>
      <c r="P215" s="994">
        <f>COMPOSIÇÕES!B1590</f>
        <v>149.0016</v>
      </c>
      <c r="Q215" s="999">
        <f t="shared" si="9"/>
        <v>149</v>
      </c>
    </row>
    <row r="216" spans="1:17" s="168" customFormat="1" ht="21.9" customHeight="1">
      <c r="A216" s="162" t="s">
        <v>3003</v>
      </c>
      <c r="B216" s="163" t="s">
        <v>3047</v>
      </c>
      <c r="C216" s="177" t="s">
        <v>2043</v>
      </c>
      <c r="D216" s="170" t="s">
        <v>1452</v>
      </c>
      <c r="E216" s="537"/>
      <c r="F216" s="166"/>
      <c r="G216" s="166"/>
      <c r="H216" s="166"/>
      <c r="I216" s="166"/>
      <c r="J216" s="166"/>
      <c r="K216" s="166"/>
      <c r="L216" s="166"/>
      <c r="M216" s="166"/>
      <c r="N216" s="166">
        <v>2</v>
      </c>
      <c r="O216" s="166">
        <v>2</v>
      </c>
      <c r="P216" s="994">
        <f>COMPOSIÇÕES!B1618</f>
        <v>246.75900000000001</v>
      </c>
      <c r="Q216" s="999">
        <f t="shared" si="9"/>
        <v>493.51</v>
      </c>
    </row>
    <row r="217" spans="1:17" s="168" customFormat="1" ht="21.9" customHeight="1">
      <c r="A217" s="162" t="s">
        <v>3004</v>
      </c>
      <c r="B217" s="163" t="s">
        <v>3048</v>
      </c>
      <c r="C217" s="177" t="s">
        <v>1987</v>
      </c>
      <c r="D217" s="170" t="s">
        <v>1452</v>
      </c>
      <c r="E217" s="537"/>
      <c r="F217" s="166"/>
      <c r="G217" s="166"/>
      <c r="H217" s="166"/>
      <c r="I217" s="166"/>
      <c r="J217" s="166"/>
      <c r="K217" s="166"/>
      <c r="L217" s="166"/>
      <c r="M217" s="166"/>
      <c r="N217" s="166">
        <v>1</v>
      </c>
      <c r="O217" s="166">
        <v>1</v>
      </c>
      <c r="P217" s="994">
        <f>COMPOSIÇÕES!B1650</f>
        <v>1289.5959000000003</v>
      </c>
      <c r="Q217" s="999">
        <f t="shared" si="9"/>
        <v>1289.5899999999999</v>
      </c>
    </row>
    <row r="218" spans="1:17" s="168" customFormat="1" ht="21.9" customHeight="1">
      <c r="A218" s="162" t="s">
        <v>3005</v>
      </c>
      <c r="B218" s="163" t="s">
        <v>3049</v>
      </c>
      <c r="C218" s="177" t="s">
        <v>2035</v>
      </c>
      <c r="D218" s="170" t="s">
        <v>1452</v>
      </c>
      <c r="E218" s="537"/>
      <c r="F218" s="166"/>
      <c r="G218" s="166"/>
      <c r="H218" s="166"/>
      <c r="I218" s="166"/>
      <c r="J218" s="166"/>
      <c r="K218" s="166"/>
      <c r="L218" s="166"/>
      <c r="M218" s="166"/>
      <c r="N218" s="166">
        <v>1</v>
      </c>
      <c r="O218" s="166">
        <v>1</v>
      </c>
      <c r="P218" s="994">
        <f>COMPOSIÇÕES!B1678</f>
        <v>128.42175</v>
      </c>
      <c r="Q218" s="999">
        <f t="shared" si="9"/>
        <v>128.41999999999999</v>
      </c>
    </row>
    <row r="219" spans="1:17" s="168" customFormat="1" ht="21.9" customHeight="1">
      <c r="A219" s="162" t="s">
        <v>3006</v>
      </c>
      <c r="B219" s="163" t="s">
        <v>3050</v>
      </c>
      <c r="C219" s="177" t="s">
        <v>2036</v>
      </c>
      <c r="D219" s="170" t="s">
        <v>1452</v>
      </c>
      <c r="E219" s="537"/>
      <c r="F219" s="166"/>
      <c r="G219" s="166"/>
      <c r="H219" s="166"/>
      <c r="I219" s="166"/>
      <c r="J219" s="166"/>
      <c r="K219" s="166"/>
      <c r="L219" s="166"/>
      <c r="M219" s="166"/>
      <c r="N219" s="166">
        <v>1</v>
      </c>
      <c r="O219" s="166">
        <v>1</v>
      </c>
      <c r="P219" s="994">
        <f>COMPOSIÇÕES!B1706</f>
        <v>355.52220000000005</v>
      </c>
      <c r="Q219" s="999">
        <f t="shared" si="9"/>
        <v>355.52</v>
      </c>
    </row>
    <row r="220" spans="1:17" s="168" customFormat="1" ht="21.9" customHeight="1">
      <c r="A220" s="162" t="s">
        <v>3007</v>
      </c>
      <c r="B220" s="163" t="s">
        <v>3051</v>
      </c>
      <c r="C220" s="177" t="s">
        <v>2037</v>
      </c>
      <c r="D220" s="170" t="s">
        <v>1452</v>
      </c>
      <c r="E220" s="537"/>
      <c r="F220" s="166"/>
      <c r="G220" s="166"/>
      <c r="H220" s="166">
        <v>1</v>
      </c>
      <c r="I220" s="166"/>
      <c r="J220" s="166"/>
      <c r="K220" s="166"/>
      <c r="L220" s="166"/>
      <c r="M220" s="166"/>
      <c r="N220" s="166">
        <v>1</v>
      </c>
      <c r="O220" s="166">
        <v>2</v>
      </c>
      <c r="P220" s="994">
        <f>COMPOSIÇÕES!B1738</f>
        <v>961.91190000000017</v>
      </c>
      <c r="Q220" s="999">
        <f t="shared" si="9"/>
        <v>1923.82</v>
      </c>
    </row>
    <row r="221" spans="1:17" s="168" customFormat="1" ht="21.9" customHeight="1">
      <c r="A221" s="162" t="s">
        <v>3008</v>
      </c>
      <c r="B221" s="163" t="s">
        <v>3052</v>
      </c>
      <c r="C221" s="177" t="s">
        <v>2038</v>
      </c>
      <c r="D221" s="170" t="s">
        <v>1452</v>
      </c>
      <c r="E221" s="537"/>
      <c r="F221" s="166"/>
      <c r="G221" s="166"/>
      <c r="H221" s="166"/>
      <c r="I221" s="166"/>
      <c r="J221" s="166"/>
      <c r="K221" s="166"/>
      <c r="L221" s="166"/>
      <c r="M221" s="166"/>
      <c r="N221" s="166">
        <v>2</v>
      </c>
      <c r="O221" s="166">
        <v>2</v>
      </c>
      <c r="P221" s="994">
        <f>COMPOSIÇÕES!B1770</f>
        <v>403.21815000000004</v>
      </c>
      <c r="Q221" s="999">
        <f t="shared" si="9"/>
        <v>806.43</v>
      </c>
    </row>
    <row r="222" spans="1:17" s="168" customFormat="1" ht="21.9" customHeight="1">
      <c r="A222" s="162" t="s">
        <v>3009</v>
      </c>
      <c r="B222" s="163" t="s">
        <v>3053</v>
      </c>
      <c r="C222" s="177" t="s">
        <v>2039</v>
      </c>
      <c r="D222" s="170" t="s">
        <v>1452</v>
      </c>
      <c r="E222" s="537"/>
      <c r="F222" s="166"/>
      <c r="G222" s="166"/>
      <c r="H222" s="166"/>
      <c r="I222" s="166"/>
      <c r="J222" s="166"/>
      <c r="K222" s="166"/>
      <c r="L222" s="166"/>
      <c r="M222" s="166"/>
      <c r="N222" s="166">
        <v>1</v>
      </c>
      <c r="O222" s="166">
        <v>1</v>
      </c>
      <c r="P222" s="994">
        <f>COMPOSIÇÕES!B1802</f>
        <v>850.16070000000013</v>
      </c>
      <c r="Q222" s="999">
        <f t="shared" si="9"/>
        <v>850.16</v>
      </c>
    </row>
    <row r="223" spans="1:17" s="168" customFormat="1" ht="21.9" customHeight="1">
      <c r="A223" s="162" t="s">
        <v>3010</v>
      </c>
      <c r="B223" s="163" t="s">
        <v>3054</v>
      </c>
      <c r="C223" s="177" t="s">
        <v>2040</v>
      </c>
      <c r="D223" s="170" t="s">
        <v>1452</v>
      </c>
      <c r="E223" s="537"/>
      <c r="F223" s="166"/>
      <c r="G223" s="166"/>
      <c r="H223" s="166"/>
      <c r="I223" s="166"/>
      <c r="J223" s="166"/>
      <c r="K223" s="166"/>
      <c r="L223" s="166"/>
      <c r="M223" s="166"/>
      <c r="N223" s="166">
        <v>1</v>
      </c>
      <c r="O223" s="166">
        <v>1</v>
      </c>
      <c r="P223" s="994">
        <f>COMPOSIÇÕES!B1834</f>
        <v>590.37900000000002</v>
      </c>
      <c r="Q223" s="999">
        <f t="shared" si="9"/>
        <v>590.37</v>
      </c>
    </row>
    <row r="224" spans="1:17" s="168" customFormat="1" ht="21.9" customHeight="1">
      <c r="A224" s="162" t="s">
        <v>3011</v>
      </c>
      <c r="B224" s="163" t="s">
        <v>3055</v>
      </c>
      <c r="C224" s="177" t="s">
        <v>2041</v>
      </c>
      <c r="D224" s="170" t="s">
        <v>1452</v>
      </c>
      <c r="E224" s="537"/>
      <c r="F224" s="166"/>
      <c r="G224" s="166"/>
      <c r="H224" s="166"/>
      <c r="I224" s="166"/>
      <c r="J224" s="166"/>
      <c r="K224" s="166"/>
      <c r="L224" s="166"/>
      <c r="M224" s="166"/>
      <c r="N224" s="166">
        <v>1</v>
      </c>
      <c r="O224" s="166">
        <v>1</v>
      </c>
      <c r="P224" s="994">
        <f>COMPOSIÇÕES!B1866</f>
        <v>2696.5455000000002</v>
      </c>
      <c r="Q224" s="999">
        <f t="shared" si="9"/>
        <v>2696.54</v>
      </c>
    </row>
    <row r="225" spans="1:21" s="168" customFormat="1" ht="21.9" customHeight="1">
      <c r="A225" s="162" t="s">
        <v>3012</v>
      </c>
      <c r="B225" s="163" t="s">
        <v>2177</v>
      </c>
      <c r="C225" s="177" t="s">
        <v>1981</v>
      </c>
      <c r="D225" s="170" t="s">
        <v>391</v>
      </c>
      <c r="E225" s="537"/>
      <c r="F225" s="166"/>
      <c r="G225" s="166"/>
      <c r="H225" s="166"/>
      <c r="I225" s="166"/>
      <c r="J225" s="166"/>
      <c r="K225" s="166"/>
      <c r="L225" s="166"/>
      <c r="M225" s="166"/>
      <c r="N225" s="166">
        <v>70.06</v>
      </c>
      <c r="O225" s="166">
        <v>70.06</v>
      </c>
      <c r="P225" s="994">
        <f>44.2*1.245</f>
        <v>55.029000000000011</v>
      </c>
      <c r="Q225" s="999">
        <f t="shared" si="9"/>
        <v>3855.33</v>
      </c>
    </row>
    <row r="226" spans="1:21" s="168" customFormat="1" ht="21.9" customHeight="1">
      <c r="A226" s="162" t="s">
        <v>3013</v>
      </c>
      <c r="B226" s="163" t="s">
        <v>2179</v>
      </c>
      <c r="C226" s="177" t="s">
        <v>1982</v>
      </c>
      <c r="D226" s="170" t="s">
        <v>391</v>
      </c>
      <c r="E226" s="537"/>
      <c r="F226" s="166"/>
      <c r="G226" s="166"/>
      <c r="H226" s="166"/>
      <c r="I226" s="166"/>
      <c r="J226" s="166"/>
      <c r="K226" s="166"/>
      <c r="L226" s="166"/>
      <c r="M226" s="166"/>
      <c r="N226" s="166">
        <v>93.33</v>
      </c>
      <c r="O226" s="166">
        <v>93.33</v>
      </c>
      <c r="P226" s="994">
        <f>44.57*1.245</f>
        <v>55.489650000000005</v>
      </c>
      <c r="Q226" s="999">
        <f t="shared" si="9"/>
        <v>5178.84</v>
      </c>
    </row>
    <row r="227" spans="1:21" s="168" customFormat="1" ht="21.9" customHeight="1">
      <c r="A227" s="162" t="s">
        <v>3014</v>
      </c>
      <c r="B227" s="163" t="s">
        <v>2180</v>
      </c>
      <c r="C227" s="177" t="s">
        <v>1983</v>
      </c>
      <c r="D227" s="170" t="s">
        <v>391</v>
      </c>
      <c r="E227" s="537"/>
      <c r="F227" s="166"/>
      <c r="G227" s="166"/>
      <c r="H227" s="166"/>
      <c r="I227" s="166"/>
      <c r="J227" s="166"/>
      <c r="K227" s="166"/>
      <c r="L227" s="166"/>
      <c r="M227" s="166"/>
      <c r="N227" s="166">
        <v>8.15</v>
      </c>
      <c r="O227" s="166">
        <v>8.15</v>
      </c>
      <c r="P227" s="994">
        <f>34.42*1.245</f>
        <v>42.852900000000005</v>
      </c>
      <c r="Q227" s="999">
        <f t="shared" si="9"/>
        <v>349.25</v>
      </c>
    </row>
    <row r="228" spans="1:21" s="168" customFormat="1" ht="21.9" customHeight="1">
      <c r="A228" s="162" t="s">
        <v>3015</v>
      </c>
      <c r="B228" s="163" t="s">
        <v>2178</v>
      </c>
      <c r="C228" s="177" t="s">
        <v>1984</v>
      </c>
      <c r="D228" s="170" t="s">
        <v>391</v>
      </c>
      <c r="E228" s="537"/>
      <c r="F228" s="166"/>
      <c r="G228" s="166"/>
      <c r="H228" s="166"/>
      <c r="I228" s="166"/>
      <c r="J228" s="166"/>
      <c r="K228" s="166"/>
      <c r="L228" s="166"/>
      <c r="M228" s="166"/>
      <c r="N228" s="166">
        <v>99.1</v>
      </c>
      <c r="O228" s="166">
        <v>99.1</v>
      </c>
      <c r="P228" s="994">
        <f>14.64*1.245</f>
        <v>18.226800000000001</v>
      </c>
      <c r="Q228" s="999">
        <f t="shared" si="9"/>
        <v>1806.27</v>
      </c>
    </row>
    <row r="229" spans="1:21" s="168" customFormat="1" ht="21.9" customHeight="1">
      <c r="A229" s="162" t="s">
        <v>3016</v>
      </c>
      <c r="B229" s="163" t="s">
        <v>2181</v>
      </c>
      <c r="C229" s="177" t="s">
        <v>1985</v>
      </c>
      <c r="D229" s="170" t="s">
        <v>391</v>
      </c>
      <c r="E229" s="537"/>
      <c r="F229" s="166"/>
      <c r="G229" s="166"/>
      <c r="H229" s="166"/>
      <c r="I229" s="166"/>
      <c r="J229" s="166"/>
      <c r="K229" s="166"/>
      <c r="L229" s="166"/>
      <c r="M229" s="166"/>
      <c r="N229" s="166">
        <v>12.7</v>
      </c>
      <c r="O229" s="166">
        <v>12.7</v>
      </c>
      <c r="P229" s="994">
        <f>22.29*1.245</f>
        <v>27.751050000000003</v>
      </c>
      <c r="Q229" s="999">
        <f t="shared" si="9"/>
        <v>352.43</v>
      </c>
    </row>
    <row r="230" spans="1:21" s="168" customFormat="1" ht="21.9" customHeight="1">
      <c r="A230" s="162" t="s">
        <v>3017</v>
      </c>
      <c r="B230" s="163" t="s">
        <v>2174</v>
      </c>
      <c r="C230" s="177" t="s">
        <v>1979</v>
      </c>
      <c r="D230" s="170" t="s">
        <v>1452</v>
      </c>
      <c r="E230" s="537"/>
      <c r="F230" s="166"/>
      <c r="G230" s="166"/>
      <c r="H230" s="166"/>
      <c r="I230" s="166"/>
      <c r="J230" s="166"/>
      <c r="K230" s="166"/>
      <c r="L230" s="166"/>
      <c r="M230" s="166"/>
      <c r="N230" s="166">
        <v>1</v>
      </c>
      <c r="O230" s="166">
        <v>1</v>
      </c>
      <c r="P230" s="994">
        <f>10616.98*1.245</f>
        <v>13218.140100000001</v>
      </c>
      <c r="Q230" s="999">
        <f t="shared" si="9"/>
        <v>13218.14</v>
      </c>
    </row>
    <row r="231" spans="1:21" s="168" customFormat="1" ht="21.9" customHeight="1">
      <c r="A231" s="162" t="s">
        <v>3018</v>
      </c>
      <c r="B231" s="163" t="s">
        <v>2175</v>
      </c>
      <c r="C231" s="177" t="s">
        <v>1980</v>
      </c>
      <c r="D231" s="170" t="s">
        <v>1452</v>
      </c>
      <c r="E231" s="537"/>
      <c r="F231" s="166"/>
      <c r="G231" s="166"/>
      <c r="H231" s="166"/>
      <c r="I231" s="166"/>
      <c r="J231" s="166"/>
      <c r="K231" s="166"/>
      <c r="L231" s="166"/>
      <c r="M231" s="166"/>
      <c r="N231" s="166">
        <v>1</v>
      </c>
      <c r="O231" s="166">
        <v>1</v>
      </c>
      <c r="P231" s="994">
        <f>5583.11*1.245</f>
        <v>6950.9719500000001</v>
      </c>
      <c r="Q231" s="999">
        <f t="shared" si="9"/>
        <v>6950.97</v>
      </c>
    </row>
    <row r="232" spans="1:21" s="168" customFormat="1" ht="21.9" customHeight="1">
      <c r="A232" s="162" t="s">
        <v>3019</v>
      </c>
      <c r="B232" s="163" t="s">
        <v>2176</v>
      </c>
      <c r="C232" s="177" t="s">
        <v>1978</v>
      </c>
      <c r="D232" s="170" t="s">
        <v>1452</v>
      </c>
      <c r="E232" s="537"/>
      <c r="F232" s="166"/>
      <c r="G232" s="166"/>
      <c r="H232" s="166"/>
      <c r="I232" s="166"/>
      <c r="J232" s="166"/>
      <c r="K232" s="166"/>
      <c r="L232" s="166"/>
      <c r="M232" s="166"/>
      <c r="N232" s="166">
        <v>1</v>
      </c>
      <c r="O232" s="166">
        <v>1</v>
      </c>
      <c r="P232" s="994">
        <f>13317.41*1.245</f>
        <v>16580.175450000002</v>
      </c>
      <c r="Q232" s="999">
        <f t="shared" si="9"/>
        <v>16580.169999999998</v>
      </c>
    </row>
    <row r="233" spans="1:21" s="168" customFormat="1" ht="24.75" customHeight="1">
      <c r="A233" s="263"/>
      <c r="B233" s="712"/>
      <c r="C233" s="260" t="s">
        <v>2592</v>
      </c>
      <c r="D233" s="265"/>
      <c r="E233" s="558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7"/>
      <c r="Q233" s="254">
        <f>SUM(Q209:Q232)</f>
        <v>69278.350000000006</v>
      </c>
    </row>
    <row r="234" spans="1:21" s="168" customFormat="1" ht="21.9" customHeight="1">
      <c r="A234" s="209" t="s">
        <v>1171</v>
      </c>
      <c r="B234" s="225"/>
      <c r="C234" s="206" t="s">
        <v>1172</v>
      </c>
      <c r="D234" s="251"/>
      <c r="E234" s="549"/>
      <c r="F234" s="253"/>
      <c r="G234" s="253"/>
      <c r="H234" s="253"/>
      <c r="I234" s="253"/>
      <c r="J234" s="253"/>
      <c r="K234" s="253"/>
      <c r="L234" s="253"/>
      <c r="M234" s="253"/>
      <c r="N234" s="253"/>
      <c r="O234" s="253"/>
      <c r="P234" s="254"/>
      <c r="Q234" s="254"/>
    </row>
    <row r="235" spans="1:21" s="168" customFormat="1" ht="21.9" customHeight="1">
      <c r="A235" s="162" t="s">
        <v>1173</v>
      </c>
      <c r="B235" s="170" t="s">
        <v>2289</v>
      </c>
      <c r="C235" s="177" t="s">
        <v>2288</v>
      </c>
      <c r="D235" s="170" t="s">
        <v>1452</v>
      </c>
      <c r="E235" s="537"/>
      <c r="F235" s="166"/>
      <c r="G235" s="166"/>
      <c r="H235" s="166">
        <v>2</v>
      </c>
      <c r="I235" s="166"/>
      <c r="J235" s="166"/>
      <c r="K235" s="166"/>
      <c r="L235" s="166"/>
      <c r="M235" s="166"/>
      <c r="N235" s="166"/>
      <c r="O235" s="166">
        <v>2</v>
      </c>
      <c r="P235" s="994">
        <f>5708.85*1.245</f>
        <v>7107.518250000001</v>
      </c>
      <c r="Q235" s="999">
        <f t="shared" ref="Q235:Q254" si="10">TRUNC(O235*P235,2)</f>
        <v>14215.03</v>
      </c>
    </row>
    <row r="236" spans="1:21" s="168" customFormat="1" ht="21.9" customHeight="1">
      <c r="A236" s="162" t="s">
        <v>2488</v>
      </c>
      <c r="B236" s="170" t="s">
        <v>2287</v>
      </c>
      <c r="C236" s="177" t="s">
        <v>2286</v>
      </c>
      <c r="D236" s="170" t="s">
        <v>1452</v>
      </c>
      <c r="E236" s="537">
        <f>2*10</f>
        <v>20</v>
      </c>
      <c r="F236" s="166"/>
      <c r="G236" s="166">
        <v>4</v>
      </c>
      <c r="H236" s="166"/>
      <c r="I236" s="166"/>
      <c r="J236" s="166"/>
      <c r="K236" s="166"/>
      <c r="L236" s="166"/>
      <c r="M236" s="166"/>
      <c r="N236" s="166"/>
      <c r="O236" s="166">
        <v>22</v>
      </c>
      <c r="P236" s="994">
        <f>7252.37*1.245</f>
        <v>9029.2006500000007</v>
      </c>
      <c r="Q236" s="999">
        <f t="shared" si="10"/>
        <v>198642.41</v>
      </c>
    </row>
    <row r="237" spans="1:21" s="168" customFormat="1" ht="21.9" customHeight="1">
      <c r="A237" s="162" t="s">
        <v>1174</v>
      </c>
      <c r="B237" s="170" t="s">
        <v>2138</v>
      </c>
      <c r="C237" s="177" t="s">
        <v>2074</v>
      </c>
      <c r="D237" s="170" t="s">
        <v>391</v>
      </c>
      <c r="E237" s="537" t="e">
        <f>#REF!</f>
        <v>#REF!</v>
      </c>
      <c r="F237" s="166"/>
      <c r="G237" s="166"/>
      <c r="H237" s="166" t="e">
        <f>#REF!</f>
        <v>#REF!</v>
      </c>
      <c r="I237" s="166"/>
      <c r="J237" s="166"/>
      <c r="K237" s="166"/>
      <c r="L237" s="166"/>
      <c r="M237" s="166"/>
      <c r="N237" s="166"/>
      <c r="O237" s="166">
        <v>258.54000000000002</v>
      </c>
      <c r="P237" s="994">
        <f>COMPOSIÇÕES!B1243</f>
        <v>28.024949999999997</v>
      </c>
      <c r="Q237" s="999">
        <f t="shared" si="10"/>
        <v>7245.57</v>
      </c>
      <c r="U237" s="159"/>
    </row>
    <row r="238" spans="1:21" s="168" customFormat="1" ht="34.5" customHeight="1">
      <c r="A238" s="162" t="s">
        <v>1175</v>
      </c>
      <c r="B238" s="249" t="s">
        <v>447</v>
      </c>
      <c r="C238" s="177" t="s">
        <v>2048</v>
      </c>
      <c r="D238" s="170" t="s">
        <v>1316</v>
      </c>
      <c r="E238" s="537" t="e">
        <f>#REF!</f>
        <v>#REF!</v>
      </c>
      <c r="F238" s="166"/>
      <c r="G238" s="166"/>
      <c r="H238" s="166" t="e">
        <f>#REF!</f>
        <v>#REF!</v>
      </c>
      <c r="I238" s="166"/>
      <c r="J238" s="166"/>
      <c r="K238" s="166"/>
      <c r="L238" s="166"/>
      <c r="M238" s="166"/>
      <c r="N238" s="166"/>
      <c r="O238" s="166">
        <v>12.3696</v>
      </c>
      <c r="P238" s="994">
        <f>COMPOSIÇÕES!B296</f>
        <v>78.347849999999994</v>
      </c>
      <c r="Q238" s="999">
        <f t="shared" si="10"/>
        <v>969.13</v>
      </c>
    </row>
    <row r="239" spans="1:21" s="168" customFormat="1" ht="21.9" customHeight="1">
      <c r="A239" s="162" t="s">
        <v>1180</v>
      </c>
      <c r="B239" s="249" t="s">
        <v>2183</v>
      </c>
      <c r="C239" s="177" t="s">
        <v>2075</v>
      </c>
      <c r="D239" s="170" t="s">
        <v>1316</v>
      </c>
      <c r="E239" s="537" t="e">
        <f>#REF!</f>
        <v>#REF!</v>
      </c>
      <c r="F239" s="166"/>
      <c r="G239" s="166"/>
      <c r="H239" s="166" t="e">
        <f>#REF!</f>
        <v>#REF!</v>
      </c>
      <c r="I239" s="166"/>
      <c r="J239" s="166"/>
      <c r="K239" s="166"/>
      <c r="L239" s="166"/>
      <c r="M239" s="166"/>
      <c r="N239" s="166"/>
      <c r="O239" s="166">
        <v>2.0616000000000003</v>
      </c>
      <c r="P239" s="994">
        <f>161.3*1.245</f>
        <v>200.81850000000003</v>
      </c>
      <c r="Q239" s="999">
        <f t="shared" si="10"/>
        <v>414</v>
      </c>
    </row>
    <row r="240" spans="1:21" s="168" customFormat="1" ht="21.9" customHeight="1">
      <c r="A240" s="162" t="s">
        <v>1181</v>
      </c>
      <c r="B240" s="249" t="s">
        <v>1123</v>
      </c>
      <c r="C240" s="177" t="s">
        <v>1955</v>
      </c>
      <c r="D240" s="170" t="s">
        <v>1316</v>
      </c>
      <c r="E240" s="537" t="e">
        <f>#REF!</f>
        <v>#REF!</v>
      </c>
      <c r="F240" s="166"/>
      <c r="G240" s="166"/>
      <c r="H240" s="166" t="e">
        <f>#REF!</f>
        <v>#REF!</v>
      </c>
      <c r="I240" s="166"/>
      <c r="J240" s="166"/>
      <c r="K240" s="166"/>
      <c r="L240" s="166"/>
      <c r="M240" s="166"/>
      <c r="N240" s="166"/>
      <c r="O240" s="166">
        <v>10.197520230400002</v>
      </c>
      <c r="P240" s="994">
        <f>COMPOSIÇÕES!B328</f>
        <v>47.496749999999999</v>
      </c>
      <c r="Q240" s="999">
        <f t="shared" si="10"/>
        <v>484.34</v>
      </c>
    </row>
    <row r="241" spans="1:17" s="168" customFormat="1" ht="28.5" customHeight="1">
      <c r="A241" s="162" t="s">
        <v>2489</v>
      </c>
      <c r="B241" s="249" t="s">
        <v>1124</v>
      </c>
      <c r="C241" s="177" t="s">
        <v>1541</v>
      </c>
      <c r="D241" s="170" t="s">
        <v>1316</v>
      </c>
      <c r="E241" s="537" t="e">
        <f>#REF!</f>
        <v>#REF!</v>
      </c>
      <c r="F241" s="166"/>
      <c r="G241" s="166"/>
      <c r="H241" s="166" t="e">
        <f>#REF!</f>
        <v>#REF!</v>
      </c>
      <c r="I241" s="166"/>
      <c r="J241" s="166"/>
      <c r="K241" s="166"/>
      <c r="L241" s="166"/>
      <c r="M241" s="166"/>
      <c r="N241" s="166"/>
      <c r="O241" s="166">
        <v>2.8237037004800003</v>
      </c>
      <c r="P241" s="994">
        <f>COMPOSIÇÕES!B428</f>
        <v>23.020050000000001</v>
      </c>
      <c r="Q241" s="999">
        <f t="shared" si="10"/>
        <v>65</v>
      </c>
    </row>
    <row r="242" spans="1:17" s="168" customFormat="1" ht="30" customHeight="1">
      <c r="A242" s="162" t="s">
        <v>1182</v>
      </c>
      <c r="B242" s="249" t="s">
        <v>3058</v>
      </c>
      <c r="C242" s="177" t="s">
        <v>3057</v>
      </c>
      <c r="D242" s="170" t="s">
        <v>391</v>
      </c>
      <c r="E242" s="537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>
        <v>200</v>
      </c>
      <c r="P242" s="994">
        <f>9.9*1.245</f>
        <v>12.325500000000002</v>
      </c>
      <c r="Q242" s="999">
        <f t="shared" si="10"/>
        <v>2465.1</v>
      </c>
    </row>
    <row r="243" spans="1:17" s="168" customFormat="1" ht="30" customHeight="1">
      <c r="A243" s="162" t="s">
        <v>2023</v>
      </c>
      <c r="B243" s="249" t="s">
        <v>3059</v>
      </c>
      <c r="C243" s="177" t="s">
        <v>3060</v>
      </c>
      <c r="D243" s="170" t="s">
        <v>391</v>
      </c>
      <c r="E243" s="537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>
        <v>200</v>
      </c>
      <c r="P243" s="994">
        <f>17.15*1.245</f>
        <v>21.351749999999999</v>
      </c>
      <c r="Q243" s="999">
        <f t="shared" si="10"/>
        <v>4270.3500000000004</v>
      </c>
    </row>
    <row r="244" spans="1:17" s="168" customFormat="1" ht="29.25" customHeight="1">
      <c r="A244" s="162" t="s">
        <v>2024</v>
      </c>
      <c r="B244" s="249" t="s">
        <v>3061</v>
      </c>
      <c r="C244" s="177" t="s">
        <v>3062</v>
      </c>
      <c r="D244" s="170" t="s">
        <v>391</v>
      </c>
      <c r="E244" s="537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>
        <v>200</v>
      </c>
      <c r="P244" s="994">
        <f>4.97*1.245</f>
        <v>6.1876500000000005</v>
      </c>
      <c r="Q244" s="999">
        <f t="shared" si="10"/>
        <v>1237.53</v>
      </c>
    </row>
    <row r="245" spans="1:17" s="168" customFormat="1" ht="27" customHeight="1">
      <c r="A245" s="162" t="s">
        <v>2025</v>
      </c>
      <c r="B245" s="1005" t="s">
        <v>3063</v>
      </c>
      <c r="C245" s="177" t="s">
        <v>2802</v>
      </c>
      <c r="D245" s="170" t="s">
        <v>391</v>
      </c>
      <c r="E245" s="537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>
        <v>20</v>
      </c>
      <c r="P245" s="994">
        <f>'COMP AUX'!G1914*1.245</f>
        <v>9.4371000000000009</v>
      </c>
      <c r="Q245" s="999">
        <f t="shared" si="10"/>
        <v>188.74</v>
      </c>
    </row>
    <row r="246" spans="1:17" s="168" customFormat="1" ht="36.75" customHeight="1">
      <c r="A246" s="162" t="s">
        <v>2026</v>
      </c>
      <c r="B246" s="1005" t="s">
        <v>3065</v>
      </c>
      <c r="C246" s="177" t="s">
        <v>3066</v>
      </c>
      <c r="D246" s="170" t="s">
        <v>2713</v>
      </c>
      <c r="E246" s="537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>
        <v>16</v>
      </c>
      <c r="P246" s="994">
        <f>'COMP AUX'!G1870*1.245</f>
        <v>17.355300000000003</v>
      </c>
      <c r="Q246" s="999">
        <f t="shared" si="10"/>
        <v>277.68</v>
      </c>
    </row>
    <row r="247" spans="1:17" s="168" customFormat="1" ht="47.25" customHeight="1">
      <c r="A247" s="162" t="s">
        <v>2027</v>
      </c>
      <c r="B247" s="249" t="s">
        <v>3067</v>
      </c>
      <c r="C247" s="177" t="s">
        <v>3068</v>
      </c>
      <c r="D247" s="170" t="s">
        <v>2713</v>
      </c>
      <c r="E247" s="537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>
        <v>16</v>
      </c>
      <c r="P247" s="994">
        <f>20.64*1.245</f>
        <v>25.696800000000003</v>
      </c>
      <c r="Q247" s="999">
        <f t="shared" si="10"/>
        <v>411.14</v>
      </c>
    </row>
    <row r="248" spans="1:17" s="168" customFormat="1" ht="47.25" customHeight="1">
      <c r="A248" s="162" t="s">
        <v>2028</v>
      </c>
      <c r="B248" s="249" t="s">
        <v>3069</v>
      </c>
      <c r="C248" s="177" t="s">
        <v>2800</v>
      </c>
      <c r="D248" s="170" t="s">
        <v>2713</v>
      </c>
      <c r="E248" s="537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>
        <v>16</v>
      </c>
      <c r="P248" s="994">
        <f>'COMP AUX'!G1856*1.245</f>
        <v>104.28120000000001</v>
      </c>
      <c r="Q248" s="999">
        <f t="shared" si="10"/>
        <v>1668.49</v>
      </c>
    </row>
    <row r="249" spans="1:17" s="168" customFormat="1" ht="31.5" customHeight="1">
      <c r="A249" s="162" t="s">
        <v>2029</v>
      </c>
      <c r="B249" s="249" t="s">
        <v>3071</v>
      </c>
      <c r="C249" s="177" t="s">
        <v>3072</v>
      </c>
      <c r="D249" s="170" t="s">
        <v>2713</v>
      </c>
      <c r="E249" s="537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>
        <v>5</v>
      </c>
      <c r="P249" s="994">
        <f>29*1.245</f>
        <v>36.105000000000004</v>
      </c>
      <c r="Q249" s="999">
        <f t="shared" si="10"/>
        <v>180.52</v>
      </c>
    </row>
    <row r="250" spans="1:17" s="168" customFormat="1" ht="47.25" customHeight="1">
      <c r="A250" s="162" t="s">
        <v>2030</v>
      </c>
      <c r="B250" s="1005" t="s">
        <v>3081</v>
      </c>
      <c r="C250" s="177" t="s">
        <v>3074</v>
      </c>
      <c r="D250" s="170" t="s">
        <v>391</v>
      </c>
      <c r="E250" s="537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>
        <v>200</v>
      </c>
      <c r="P250" s="994">
        <f>COMPOSIÇÕES!B1020</f>
        <v>12.225899999999999</v>
      </c>
      <c r="Q250" s="999">
        <f t="shared" si="10"/>
        <v>2445.1799999999998</v>
      </c>
    </row>
    <row r="251" spans="1:17" s="168" customFormat="1" ht="47.25" customHeight="1">
      <c r="A251" s="162" t="s">
        <v>2031</v>
      </c>
      <c r="B251" s="249" t="s">
        <v>3083</v>
      </c>
      <c r="C251" s="177" t="s">
        <v>3082</v>
      </c>
      <c r="D251" s="170" t="s">
        <v>391</v>
      </c>
      <c r="E251" s="537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>
        <v>140</v>
      </c>
      <c r="P251" s="994">
        <f>COMPOSIÇÕES!B1036</f>
        <v>14.541599999999999</v>
      </c>
      <c r="Q251" s="999">
        <f t="shared" si="10"/>
        <v>2035.82</v>
      </c>
    </row>
    <row r="252" spans="1:17" s="168" customFormat="1" ht="33" customHeight="1">
      <c r="A252" s="162" t="s">
        <v>2032</v>
      </c>
      <c r="B252" s="249" t="s">
        <v>2791</v>
      </c>
      <c r="C252" s="177" t="s">
        <v>3086</v>
      </c>
      <c r="D252" s="170" t="s">
        <v>2713</v>
      </c>
      <c r="E252" s="537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>
        <v>16</v>
      </c>
      <c r="P252" s="994">
        <f>'COMP AUX'!G1828*1.245</f>
        <v>16.272150000000003</v>
      </c>
      <c r="Q252" s="999">
        <f t="shared" si="10"/>
        <v>260.35000000000002</v>
      </c>
    </row>
    <row r="253" spans="1:17" s="168" customFormat="1" ht="31.5" customHeight="1">
      <c r="A253" s="162" t="s">
        <v>2033</v>
      </c>
      <c r="B253" s="249" t="s">
        <v>2796</v>
      </c>
      <c r="C253" s="177" t="s">
        <v>3087</v>
      </c>
      <c r="D253" s="170" t="s">
        <v>2713</v>
      </c>
      <c r="E253" s="537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>
        <v>16</v>
      </c>
      <c r="P253" s="994">
        <f>'COMP AUX'!G1842*1.245</f>
        <v>9.1632000000000016</v>
      </c>
      <c r="Q253" s="999">
        <f t="shared" si="10"/>
        <v>146.61000000000001</v>
      </c>
    </row>
    <row r="254" spans="1:17" s="168" customFormat="1" ht="27" customHeight="1">
      <c r="A254" s="162" t="s">
        <v>2034</v>
      </c>
      <c r="B254" s="249" t="s">
        <v>3088</v>
      </c>
      <c r="C254" s="177" t="s">
        <v>2809</v>
      </c>
      <c r="D254" s="170" t="s">
        <v>2534</v>
      </c>
      <c r="E254" s="537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>
        <v>11</v>
      </c>
      <c r="P254" s="994">
        <f>'COMP AUX'!G1885*1.245</f>
        <v>36.117449999999998</v>
      </c>
      <c r="Q254" s="999">
        <f t="shared" si="10"/>
        <v>397.29</v>
      </c>
    </row>
    <row r="255" spans="1:17" s="168" customFormat="1" ht="28.5" customHeight="1">
      <c r="A255" s="263"/>
      <c r="B255" s="225"/>
      <c r="C255" s="260" t="s">
        <v>2591</v>
      </c>
      <c r="D255" s="265"/>
      <c r="E255" s="549"/>
      <c r="F255" s="253"/>
      <c r="G255" s="253"/>
      <c r="H255" s="253"/>
      <c r="I255" s="253"/>
      <c r="J255" s="253"/>
      <c r="K255" s="253"/>
      <c r="L255" s="253"/>
      <c r="M255" s="253"/>
      <c r="N255" s="253"/>
      <c r="O255" s="266"/>
      <c r="P255" s="254"/>
      <c r="Q255" s="254">
        <f>SUM(Q235:Q254)</f>
        <v>238020.28</v>
      </c>
    </row>
    <row r="256" spans="1:17" s="168" customFormat="1" ht="21.9" customHeight="1">
      <c r="A256" s="209" t="s">
        <v>1176</v>
      </c>
      <c r="B256" s="225"/>
      <c r="C256" s="206" t="s">
        <v>1177</v>
      </c>
      <c r="D256" s="251"/>
      <c r="E256" s="549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4"/>
      <c r="Q256" s="254"/>
    </row>
    <row r="257" spans="1:17" s="168" customFormat="1" ht="48.75" customHeight="1">
      <c r="A257" s="162" t="s">
        <v>1178</v>
      </c>
      <c r="B257" s="163" t="s">
        <v>1847</v>
      </c>
      <c r="C257" s="177" t="s">
        <v>1765</v>
      </c>
      <c r="D257" s="170" t="s">
        <v>1452</v>
      </c>
      <c r="E257" s="537">
        <f>3+3</f>
        <v>6</v>
      </c>
      <c r="F257" s="166"/>
      <c r="G257" s="166"/>
      <c r="H257" s="166"/>
      <c r="I257" s="166"/>
      <c r="J257" s="166"/>
      <c r="K257" s="166"/>
      <c r="L257" s="166"/>
      <c r="M257" s="166"/>
      <c r="N257" s="166"/>
      <c r="O257" s="166">
        <v>6</v>
      </c>
      <c r="P257" s="994">
        <f>COMPOSIÇÕES!B2668</f>
        <v>207.62864999999999</v>
      </c>
      <c r="Q257" s="999">
        <f t="shared" ref="Q257:Q291" si="11">TRUNC(O257*P257,2)</f>
        <v>1245.77</v>
      </c>
    </row>
    <row r="258" spans="1:17" s="168" customFormat="1" ht="61.5" customHeight="1">
      <c r="A258" s="162" t="s">
        <v>1179</v>
      </c>
      <c r="B258" s="163" t="s">
        <v>1848</v>
      </c>
      <c r="C258" s="177" t="s">
        <v>1931</v>
      </c>
      <c r="D258" s="170" t="s">
        <v>1452</v>
      </c>
      <c r="E258" s="537">
        <f>1+1</f>
        <v>2</v>
      </c>
      <c r="F258" s="166"/>
      <c r="G258" s="166"/>
      <c r="H258" s="166"/>
      <c r="I258" s="166"/>
      <c r="J258" s="166"/>
      <c r="K258" s="166"/>
      <c r="L258" s="166"/>
      <c r="M258" s="166"/>
      <c r="N258" s="166"/>
      <c r="O258" s="166">
        <v>2</v>
      </c>
      <c r="P258" s="994">
        <f>COMPOSIÇÕES!B2684</f>
        <v>758.24234999999999</v>
      </c>
      <c r="Q258" s="999">
        <f t="shared" si="11"/>
        <v>1516.48</v>
      </c>
    </row>
    <row r="259" spans="1:17" s="168" customFormat="1" ht="66.75" customHeight="1">
      <c r="A259" s="162" t="s">
        <v>2069</v>
      </c>
      <c r="B259" s="163" t="s">
        <v>1917</v>
      </c>
      <c r="C259" s="177" t="s">
        <v>1918</v>
      </c>
      <c r="D259" s="170" t="s">
        <v>1452</v>
      </c>
      <c r="E259" s="537">
        <f>3+3</f>
        <v>6</v>
      </c>
      <c r="F259" s="166"/>
      <c r="G259" s="166"/>
      <c r="H259" s="166"/>
      <c r="I259" s="166"/>
      <c r="J259" s="166"/>
      <c r="K259" s="166"/>
      <c r="L259" s="166"/>
      <c r="M259" s="166"/>
      <c r="N259" s="166"/>
      <c r="O259" s="166">
        <v>6</v>
      </c>
      <c r="P259" s="994">
        <f>COMPOSIÇÕES!B2820</f>
        <v>513.74924999999996</v>
      </c>
      <c r="Q259" s="999">
        <f t="shared" si="11"/>
        <v>3082.49</v>
      </c>
    </row>
    <row r="260" spans="1:17" s="168" customFormat="1" ht="52.5" customHeight="1">
      <c r="A260" s="162" t="s">
        <v>2070</v>
      </c>
      <c r="B260" s="163" t="s">
        <v>1932</v>
      </c>
      <c r="C260" s="177" t="s">
        <v>1854</v>
      </c>
      <c r="D260" s="170" t="s">
        <v>1452</v>
      </c>
      <c r="E260" s="537"/>
      <c r="F260" s="166"/>
      <c r="G260" s="166"/>
      <c r="H260" s="166">
        <f>1+1</f>
        <v>2</v>
      </c>
      <c r="I260" s="166"/>
      <c r="J260" s="166"/>
      <c r="K260" s="166"/>
      <c r="L260" s="166"/>
      <c r="M260" s="166"/>
      <c r="N260" s="166"/>
      <c r="O260" s="166">
        <v>2</v>
      </c>
      <c r="P260" s="994">
        <f>COMPOSIÇÕES!B2652</f>
        <v>482.22584999999998</v>
      </c>
      <c r="Q260" s="999">
        <f t="shared" si="11"/>
        <v>964.45</v>
      </c>
    </row>
    <row r="261" spans="1:17" s="168" customFormat="1" ht="36" customHeight="1">
      <c r="A261" s="162" t="s">
        <v>2071</v>
      </c>
      <c r="B261" s="163" t="s">
        <v>2700</v>
      </c>
      <c r="C261" s="177" t="s">
        <v>2697</v>
      </c>
      <c r="D261" s="170" t="s">
        <v>1452</v>
      </c>
      <c r="E261" s="537">
        <v>2</v>
      </c>
      <c r="F261" s="166"/>
      <c r="G261" s="166"/>
      <c r="H261" s="166"/>
      <c r="I261" s="166"/>
      <c r="J261" s="166"/>
      <c r="K261" s="166"/>
      <c r="L261" s="166"/>
      <c r="M261" s="166"/>
      <c r="N261" s="166"/>
      <c r="O261" s="166">
        <v>2</v>
      </c>
      <c r="P261" s="994">
        <f>COMPOSIÇÕES!B2700</f>
        <v>604.41014999999993</v>
      </c>
      <c r="Q261" s="999">
        <f t="shared" si="11"/>
        <v>1208.82</v>
      </c>
    </row>
    <row r="262" spans="1:17" s="168" customFormat="1" ht="35.25" customHeight="1">
      <c r="A262" s="162" t="s">
        <v>2072</v>
      </c>
      <c r="B262" s="163" t="s">
        <v>2701</v>
      </c>
      <c r="C262" s="177" t="s">
        <v>2699</v>
      </c>
      <c r="D262" s="170" t="s">
        <v>1452</v>
      </c>
      <c r="E262" s="537">
        <v>6</v>
      </c>
      <c r="F262" s="166"/>
      <c r="G262" s="166"/>
      <c r="H262" s="166">
        <v>2</v>
      </c>
      <c r="I262" s="166"/>
      <c r="J262" s="166"/>
      <c r="K262" s="166"/>
      <c r="L262" s="166"/>
      <c r="M262" s="166"/>
      <c r="N262" s="166"/>
      <c r="O262" s="166">
        <v>8</v>
      </c>
      <c r="P262" s="994">
        <f>COMPOSIÇÕES!B2716</f>
        <v>57.108149999999995</v>
      </c>
      <c r="Q262" s="999">
        <f t="shared" si="11"/>
        <v>456.86</v>
      </c>
    </row>
    <row r="263" spans="1:17" s="168" customFormat="1" ht="60.75" customHeight="1">
      <c r="A263" s="162" t="s">
        <v>2073</v>
      </c>
      <c r="B263" s="163" t="s">
        <v>1792</v>
      </c>
      <c r="C263" s="177" t="s">
        <v>1793</v>
      </c>
      <c r="D263" s="170" t="s">
        <v>1452</v>
      </c>
      <c r="E263" s="537">
        <v>6</v>
      </c>
      <c r="F263" s="166"/>
      <c r="G263" s="166"/>
      <c r="H263" s="166"/>
      <c r="I263" s="166"/>
      <c r="J263" s="166"/>
      <c r="K263" s="166"/>
      <c r="L263" s="166"/>
      <c r="M263" s="166"/>
      <c r="N263" s="166"/>
      <c r="O263" s="166">
        <v>6</v>
      </c>
      <c r="P263" s="994">
        <f>COMPOSIÇÕES!B2738</f>
        <v>556.02945</v>
      </c>
      <c r="Q263" s="999">
        <f t="shared" si="11"/>
        <v>3336.17</v>
      </c>
    </row>
    <row r="264" spans="1:17" s="168" customFormat="1" ht="55.5" customHeight="1">
      <c r="A264" s="162" t="s">
        <v>2076</v>
      </c>
      <c r="B264" s="163" t="s">
        <v>2457</v>
      </c>
      <c r="C264" s="255" t="s">
        <v>2363</v>
      </c>
      <c r="D264" s="170" t="s">
        <v>121</v>
      </c>
      <c r="E264" s="537">
        <v>4</v>
      </c>
      <c r="F264" s="166"/>
      <c r="G264" s="166"/>
      <c r="H264" s="166"/>
      <c r="I264" s="166"/>
      <c r="J264" s="166"/>
      <c r="K264" s="166"/>
      <c r="L264" s="166"/>
      <c r="M264" s="166"/>
      <c r="N264" s="166"/>
      <c r="O264" s="166">
        <v>4</v>
      </c>
      <c r="P264" s="994">
        <f>COMPOSIÇÕES!B2883</f>
        <v>3372.8419499999995</v>
      </c>
      <c r="Q264" s="999">
        <f t="shared" si="11"/>
        <v>13491.36</v>
      </c>
    </row>
    <row r="265" spans="1:17" s="168" customFormat="1" ht="33" customHeight="1">
      <c r="A265" s="162" t="s">
        <v>3090</v>
      </c>
      <c r="B265" s="268" t="s">
        <v>2309</v>
      </c>
      <c r="C265" s="255" t="s">
        <v>2306</v>
      </c>
      <c r="D265" s="170" t="s">
        <v>1452</v>
      </c>
      <c r="E265" s="537">
        <v>7</v>
      </c>
      <c r="F265" s="166"/>
      <c r="G265" s="166"/>
      <c r="H265" s="166"/>
      <c r="I265" s="166"/>
      <c r="J265" s="166"/>
      <c r="K265" s="166"/>
      <c r="L265" s="166"/>
      <c r="M265" s="166"/>
      <c r="N265" s="166"/>
      <c r="O265" s="166">
        <v>7</v>
      </c>
      <c r="P265" s="994">
        <f>COMPOSIÇÕES!B3163</f>
        <v>875.91974999999991</v>
      </c>
      <c r="Q265" s="999">
        <f t="shared" si="11"/>
        <v>6131.43</v>
      </c>
    </row>
    <row r="266" spans="1:17" s="168" customFormat="1" ht="33" customHeight="1">
      <c r="A266" s="162" t="s">
        <v>3091</v>
      </c>
      <c r="B266" s="163" t="s">
        <v>2347</v>
      </c>
      <c r="C266" s="255" t="s">
        <v>2345</v>
      </c>
      <c r="D266" s="170" t="s">
        <v>1487</v>
      </c>
      <c r="E266" s="537">
        <f>(7+10+5+6)*(2.38*0.4)</f>
        <v>26.655999999999999</v>
      </c>
      <c r="F266" s="166"/>
      <c r="G266" s="166"/>
      <c r="H266" s="166"/>
      <c r="I266" s="166"/>
      <c r="J266" s="166"/>
      <c r="K266" s="166"/>
      <c r="L266" s="166"/>
      <c r="M266" s="166"/>
      <c r="N266" s="166"/>
      <c r="O266" s="166">
        <v>26.655999999999999</v>
      </c>
      <c r="P266" s="994">
        <f>COMPOSIÇÕES!B2902</f>
        <v>135.13229999999999</v>
      </c>
      <c r="Q266" s="999">
        <f t="shared" si="11"/>
        <v>3602.08</v>
      </c>
    </row>
    <row r="267" spans="1:17" s="168" customFormat="1" ht="21.75" customHeight="1">
      <c r="A267" s="162" t="s">
        <v>3092</v>
      </c>
      <c r="B267" s="163" t="s">
        <v>2459</v>
      </c>
      <c r="C267" s="255" t="s">
        <v>2355</v>
      </c>
      <c r="D267" s="170" t="s">
        <v>1452</v>
      </c>
      <c r="E267" s="537">
        <f>(7+2+1+1)</f>
        <v>11</v>
      </c>
      <c r="F267" s="166"/>
      <c r="G267" s="166"/>
      <c r="H267" s="166"/>
      <c r="I267" s="166"/>
      <c r="J267" s="166"/>
      <c r="K267" s="166"/>
      <c r="L267" s="166"/>
      <c r="M267" s="166"/>
      <c r="N267" s="166"/>
      <c r="O267" s="166">
        <v>11</v>
      </c>
      <c r="P267" s="994">
        <f>COMPOSIÇÕES!B2921</f>
        <v>819.19754999999998</v>
      </c>
      <c r="Q267" s="999">
        <f t="shared" si="11"/>
        <v>9011.17</v>
      </c>
    </row>
    <row r="268" spans="1:17" s="168" customFormat="1" ht="53.25" customHeight="1">
      <c r="A268" s="162" t="s">
        <v>3093</v>
      </c>
      <c r="B268" s="163" t="s">
        <v>1794</v>
      </c>
      <c r="C268" s="177" t="s">
        <v>1795</v>
      </c>
      <c r="D268" s="170" t="s">
        <v>1452</v>
      </c>
      <c r="E268" s="537">
        <v>2</v>
      </c>
      <c r="F268" s="166"/>
      <c r="G268" s="166"/>
      <c r="H268" s="166"/>
      <c r="I268" s="166"/>
      <c r="J268" s="166"/>
      <c r="K268" s="166"/>
      <c r="L268" s="166"/>
      <c r="M268" s="166"/>
      <c r="N268" s="166"/>
      <c r="O268" s="166">
        <v>2</v>
      </c>
      <c r="P268" s="994">
        <f>COMPOSIÇÕES!B2938</f>
        <v>823.69199999999989</v>
      </c>
      <c r="Q268" s="999">
        <f t="shared" si="11"/>
        <v>1647.38</v>
      </c>
    </row>
    <row r="269" spans="1:17" s="168" customFormat="1" ht="81" customHeight="1">
      <c r="A269" s="162" t="s">
        <v>3094</v>
      </c>
      <c r="B269" s="163" t="s">
        <v>2184</v>
      </c>
      <c r="C269" s="640" t="s">
        <v>2364</v>
      </c>
      <c r="D269" s="170" t="s">
        <v>1452</v>
      </c>
      <c r="E269" s="537">
        <f>1+1</f>
        <v>2</v>
      </c>
      <c r="F269" s="166"/>
      <c r="G269" s="166"/>
      <c r="H269" s="166"/>
      <c r="I269" s="166"/>
      <c r="J269" s="166"/>
      <c r="K269" s="166"/>
      <c r="L269" s="166"/>
      <c r="M269" s="166"/>
      <c r="N269" s="166"/>
      <c r="O269" s="166">
        <v>2</v>
      </c>
      <c r="P269" s="994">
        <f>COMPOSIÇÕES!B2956</f>
        <v>133.32705000000001</v>
      </c>
      <c r="Q269" s="999">
        <f t="shared" si="11"/>
        <v>266.64999999999998</v>
      </c>
    </row>
    <row r="270" spans="1:17" s="168" customFormat="1" ht="80.25" customHeight="1">
      <c r="A270" s="162" t="s">
        <v>3095</v>
      </c>
      <c r="B270" s="163" t="s">
        <v>2365</v>
      </c>
      <c r="C270" s="255" t="s">
        <v>2366</v>
      </c>
      <c r="D270" s="170" t="s">
        <v>1452</v>
      </c>
      <c r="E270" s="537"/>
      <c r="F270" s="166"/>
      <c r="G270" s="166"/>
      <c r="H270" s="166">
        <f>1+1</f>
        <v>2</v>
      </c>
      <c r="I270" s="166"/>
      <c r="J270" s="166"/>
      <c r="K270" s="166"/>
      <c r="L270" s="166"/>
      <c r="M270" s="166"/>
      <c r="N270" s="166"/>
      <c r="O270" s="166">
        <v>2</v>
      </c>
      <c r="P270" s="994">
        <f>COMPOSIÇÕES!B2974</f>
        <v>722.43615</v>
      </c>
      <c r="Q270" s="999">
        <f t="shared" si="11"/>
        <v>1444.87</v>
      </c>
    </row>
    <row r="271" spans="1:17" s="168" customFormat="1" ht="38.25" customHeight="1">
      <c r="A271" s="162" t="s">
        <v>3096</v>
      </c>
      <c r="B271" s="163" t="s">
        <v>1798</v>
      </c>
      <c r="C271" s="177" t="s">
        <v>1799</v>
      </c>
      <c r="D271" s="170" t="s">
        <v>1452</v>
      </c>
      <c r="E271" s="537">
        <f>6+6</f>
        <v>12</v>
      </c>
      <c r="F271" s="166"/>
      <c r="G271" s="166"/>
      <c r="H271" s="166"/>
      <c r="I271" s="166"/>
      <c r="J271" s="166"/>
      <c r="K271" s="166"/>
      <c r="L271" s="166"/>
      <c r="M271" s="166"/>
      <c r="N271" s="166"/>
      <c r="O271" s="166">
        <v>12</v>
      </c>
      <c r="P271" s="994">
        <f>COMPOSIÇÕES!B2796</f>
        <v>238.33035000000001</v>
      </c>
      <c r="Q271" s="999">
        <f t="shared" si="11"/>
        <v>2859.96</v>
      </c>
    </row>
    <row r="272" spans="1:17" s="168" customFormat="1" ht="24.75" customHeight="1">
      <c r="A272" s="162" t="s">
        <v>3097</v>
      </c>
      <c r="B272" s="163" t="s">
        <v>2463</v>
      </c>
      <c r="C272" s="177" t="s">
        <v>1821</v>
      </c>
      <c r="D272" s="170" t="s">
        <v>1452</v>
      </c>
      <c r="E272" s="537">
        <f>1+1</f>
        <v>2</v>
      </c>
      <c r="F272" s="166"/>
      <c r="G272" s="166"/>
      <c r="H272" s="166"/>
      <c r="I272" s="166"/>
      <c r="J272" s="166"/>
      <c r="K272" s="166"/>
      <c r="L272" s="166"/>
      <c r="M272" s="166"/>
      <c r="N272" s="166"/>
      <c r="O272" s="166">
        <v>2</v>
      </c>
      <c r="P272" s="994">
        <f>COMPOSIÇÕES!B2775</f>
        <v>4387.4048999999995</v>
      </c>
      <c r="Q272" s="999">
        <f t="shared" si="11"/>
        <v>8774.7999999999993</v>
      </c>
    </row>
    <row r="273" spans="1:17" s="168" customFormat="1" ht="33.75" customHeight="1">
      <c r="A273" s="162" t="s">
        <v>3098</v>
      </c>
      <c r="B273" s="163" t="s">
        <v>277</v>
      </c>
      <c r="C273" s="177" t="s">
        <v>2377</v>
      </c>
      <c r="D273" s="170" t="s">
        <v>1452</v>
      </c>
      <c r="E273" s="537">
        <f>8+8+2+1</f>
        <v>19</v>
      </c>
      <c r="F273" s="166"/>
      <c r="G273" s="166"/>
      <c r="H273" s="166"/>
      <c r="I273" s="166"/>
      <c r="J273" s="166"/>
      <c r="K273" s="166"/>
      <c r="L273" s="166"/>
      <c r="M273" s="166"/>
      <c r="N273" s="166"/>
      <c r="O273" s="166">
        <v>19</v>
      </c>
      <c r="P273" s="994">
        <f>COMPOSIÇÕES!B2993</f>
        <v>104.76675</v>
      </c>
      <c r="Q273" s="999">
        <f t="shared" si="11"/>
        <v>1990.56</v>
      </c>
    </row>
    <row r="274" spans="1:17" s="168" customFormat="1" ht="48.75" customHeight="1">
      <c r="A274" s="162" t="s">
        <v>3099</v>
      </c>
      <c r="B274" s="163" t="s">
        <v>277</v>
      </c>
      <c r="C274" s="623" t="s">
        <v>1818</v>
      </c>
      <c r="D274" s="165" t="s">
        <v>1452</v>
      </c>
      <c r="E274" s="538">
        <f>1+1</f>
        <v>2</v>
      </c>
      <c r="F274" s="182"/>
      <c r="G274" s="182"/>
      <c r="H274" s="182"/>
      <c r="I274" s="182"/>
      <c r="J274" s="182"/>
      <c r="K274" s="182"/>
      <c r="L274" s="182"/>
      <c r="M274" s="182"/>
      <c r="N274" s="182"/>
      <c r="O274" s="166">
        <v>2</v>
      </c>
      <c r="P274" s="995">
        <f>COMPOSIÇÕES!B3012</f>
        <v>47.969849999999994</v>
      </c>
      <c r="Q274" s="999">
        <f t="shared" si="11"/>
        <v>95.93</v>
      </c>
    </row>
    <row r="275" spans="1:17" s="168" customFormat="1" ht="41.25" customHeight="1">
      <c r="A275" s="162" t="s">
        <v>3100</v>
      </c>
      <c r="B275" s="163" t="s">
        <v>1878</v>
      </c>
      <c r="C275" s="623" t="s">
        <v>2245</v>
      </c>
      <c r="D275" s="165" t="s">
        <v>1452</v>
      </c>
      <c r="E275" s="538">
        <v>7</v>
      </c>
      <c r="F275" s="166"/>
      <c r="G275" s="166"/>
      <c r="H275" s="166"/>
      <c r="I275" s="166"/>
      <c r="J275" s="166"/>
      <c r="K275" s="166"/>
      <c r="L275" s="166"/>
      <c r="M275" s="166"/>
      <c r="N275" s="166"/>
      <c r="O275" s="166">
        <v>7</v>
      </c>
      <c r="P275" s="995">
        <f>COMPOSIÇÕES!B3089</f>
        <v>47.994749999999996</v>
      </c>
      <c r="Q275" s="999">
        <f t="shared" si="11"/>
        <v>335.96</v>
      </c>
    </row>
    <row r="276" spans="1:17" s="168" customFormat="1" ht="47.25" customHeight="1">
      <c r="A276" s="162" t="s">
        <v>3101</v>
      </c>
      <c r="B276" s="165" t="s">
        <v>2446</v>
      </c>
      <c r="C276" s="177" t="s">
        <v>2449</v>
      </c>
      <c r="D276" s="165" t="s">
        <v>1452</v>
      </c>
      <c r="E276" s="538"/>
      <c r="F276" s="166"/>
      <c r="G276" s="166"/>
      <c r="H276" s="166">
        <v>7</v>
      </c>
      <c r="I276" s="166"/>
      <c r="J276" s="166"/>
      <c r="K276" s="166"/>
      <c r="L276" s="166"/>
      <c r="M276" s="166"/>
      <c r="N276" s="166"/>
      <c r="O276" s="166">
        <v>7</v>
      </c>
      <c r="P276" s="995">
        <f>COMPOSIÇÕES!B3031</f>
        <v>117.50309999999999</v>
      </c>
      <c r="Q276" s="999">
        <f t="shared" si="11"/>
        <v>822.52</v>
      </c>
    </row>
    <row r="277" spans="1:17" s="168" customFormat="1" ht="39" customHeight="1">
      <c r="A277" s="162" t="s">
        <v>3102</v>
      </c>
      <c r="B277" s="165" t="s">
        <v>2447</v>
      </c>
      <c r="C277" s="177" t="s">
        <v>2448</v>
      </c>
      <c r="D277" s="165" t="s">
        <v>1452</v>
      </c>
      <c r="E277" s="538">
        <v>7</v>
      </c>
      <c r="F277" s="166"/>
      <c r="G277" s="166"/>
      <c r="H277" s="166">
        <v>7</v>
      </c>
      <c r="I277" s="166"/>
      <c r="J277" s="166"/>
      <c r="K277" s="166"/>
      <c r="L277" s="166"/>
      <c r="M277" s="166"/>
      <c r="N277" s="166"/>
      <c r="O277" s="166">
        <v>14</v>
      </c>
      <c r="P277" s="995">
        <f>COMPOSIÇÕES!B3050</f>
        <v>194.92964999999995</v>
      </c>
      <c r="Q277" s="999">
        <f t="shared" si="11"/>
        <v>2729.01</v>
      </c>
    </row>
    <row r="278" spans="1:17" s="168" customFormat="1" ht="39.75" customHeight="1">
      <c r="A278" s="162" t="s">
        <v>3103</v>
      </c>
      <c r="B278" s="165" t="s">
        <v>2444</v>
      </c>
      <c r="C278" s="177" t="s">
        <v>2445</v>
      </c>
      <c r="D278" s="165" t="s">
        <v>1452</v>
      </c>
      <c r="E278" s="538"/>
      <c r="F278" s="166"/>
      <c r="G278" s="166"/>
      <c r="H278" s="166">
        <v>7</v>
      </c>
      <c r="I278" s="166"/>
      <c r="J278" s="166"/>
      <c r="K278" s="166"/>
      <c r="L278" s="166"/>
      <c r="M278" s="166"/>
      <c r="N278" s="166"/>
      <c r="O278" s="166">
        <v>7</v>
      </c>
      <c r="P278" s="995">
        <f>COMPOSIÇÕES!B3070</f>
        <v>69.234449999999995</v>
      </c>
      <c r="Q278" s="999">
        <f t="shared" si="11"/>
        <v>484.64</v>
      </c>
    </row>
    <row r="279" spans="1:17" s="168" customFormat="1" ht="39" customHeight="1">
      <c r="A279" s="162" t="s">
        <v>3104</v>
      </c>
      <c r="B279" s="165" t="s">
        <v>3118</v>
      </c>
      <c r="C279" s="177" t="s">
        <v>1855</v>
      </c>
      <c r="D279" s="165" t="s">
        <v>1452</v>
      </c>
      <c r="E279" s="538"/>
      <c r="F279" s="166"/>
      <c r="G279" s="166"/>
      <c r="H279" s="166">
        <f>1+1</f>
        <v>2</v>
      </c>
      <c r="I279" s="166"/>
      <c r="J279" s="166"/>
      <c r="K279" s="166"/>
      <c r="L279" s="166"/>
      <c r="M279" s="166"/>
      <c r="N279" s="166"/>
      <c r="O279" s="166">
        <v>2</v>
      </c>
      <c r="P279" s="995">
        <f>COMPOSIÇÕES!B3108</f>
        <v>93.300299999999979</v>
      </c>
      <c r="Q279" s="999">
        <f t="shared" si="11"/>
        <v>186.6</v>
      </c>
    </row>
    <row r="280" spans="1:17" s="168" customFormat="1" ht="24.75" customHeight="1">
      <c r="A280" s="162" t="s">
        <v>3105</v>
      </c>
      <c r="B280" s="661" t="s">
        <v>2465</v>
      </c>
      <c r="C280" s="177" t="s">
        <v>1850</v>
      </c>
      <c r="D280" s="165" t="s">
        <v>1452</v>
      </c>
      <c r="E280" s="538">
        <f>1+1</f>
        <v>2</v>
      </c>
      <c r="F280" s="166"/>
      <c r="G280" s="166"/>
      <c r="H280" s="166"/>
      <c r="I280" s="166"/>
      <c r="J280" s="166"/>
      <c r="K280" s="166"/>
      <c r="L280" s="166"/>
      <c r="M280" s="166"/>
      <c r="N280" s="166"/>
      <c r="O280" s="166">
        <v>2</v>
      </c>
      <c r="P280" s="995">
        <f>COMPOSIÇÕES!B2839</f>
        <v>2674.9571999999994</v>
      </c>
      <c r="Q280" s="999">
        <f t="shared" si="11"/>
        <v>5349.91</v>
      </c>
    </row>
    <row r="281" spans="1:17" s="168" customFormat="1" ht="35.25" customHeight="1">
      <c r="A281" s="162" t="s">
        <v>3106</v>
      </c>
      <c r="B281" s="163" t="s">
        <v>2683</v>
      </c>
      <c r="C281" s="177" t="s">
        <v>1851</v>
      </c>
      <c r="D281" s="170" t="s">
        <v>1791</v>
      </c>
      <c r="E281" s="537">
        <f>1+1</f>
        <v>2</v>
      </c>
      <c r="F281" s="166"/>
      <c r="G281" s="166"/>
      <c r="H281" s="166"/>
      <c r="I281" s="166"/>
      <c r="J281" s="166"/>
      <c r="K281" s="166"/>
      <c r="L281" s="166"/>
      <c r="M281" s="166"/>
      <c r="N281" s="166"/>
      <c r="O281" s="166">
        <v>2</v>
      </c>
      <c r="P281" s="1006">
        <f>COMPOSIÇÕES!B2857</f>
        <v>537.96449999999993</v>
      </c>
      <c r="Q281" s="999">
        <f t="shared" si="11"/>
        <v>1075.92</v>
      </c>
    </row>
    <row r="282" spans="1:17" s="168" customFormat="1" ht="55.5" customHeight="1">
      <c r="A282" s="162" t="s">
        <v>3107</v>
      </c>
      <c r="B282" s="179" t="s">
        <v>1800</v>
      </c>
      <c r="C282" s="180" t="s">
        <v>1822</v>
      </c>
      <c r="D282" s="181" t="s">
        <v>1791</v>
      </c>
      <c r="E282" s="566">
        <f>1+1</f>
        <v>2</v>
      </c>
      <c r="F282" s="182"/>
      <c r="G282" s="182"/>
      <c r="H282" s="182"/>
      <c r="I282" s="182"/>
      <c r="J282" s="182"/>
      <c r="K282" s="182"/>
      <c r="L282" s="182"/>
      <c r="M282" s="182"/>
      <c r="N282" s="182"/>
      <c r="O282" s="185">
        <v>2</v>
      </c>
      <c r="P282" s="1007">
        <f>COMPOSIÇÕES!B3142</f>
        <v>559.98855000000003</v>
      </c>
      <c r="Q282" s="999">
        <f t="shared" si="11"/>
        <v>1119.97</v>
      </c>
    </row>
    <row r="283" spans="1:17" s="168" customFormat="1" ht="36" customHeight="1">
      <c r="A283" s="162" t="s">
        <v>3108</v>
      </c>
      <c r="B283" s="249" t="s">
        <v>1796</v>
      </c>
      <c r="C283" s="177" t="s">
        <v>1797</v>
      </c>
      <c r="D283" s="170" t="s">
        <v>1791</v>
      </c>
      <c r="E283" s="537">
        <f>2+2</f>
        <v>4</v>
      </c>
      <c r="F283" s="166"/>
      <c r="G283" s="166"/>
      <c r="H283" s="166"/>
      <c r="I283" s="166"/>
      <c r="J283" s="166"/>
      <c r="K283" s="166"/>
      <c r="L283" s="166"/>
      <c r="M283" s="166"/>
      <c r="N283" s="166"/>
      <c r="O283" s="166">
        <v>4</v>
      </c>
      <c r="P283" s="994">
        <f>54.12*1.245</f>
        <v>67.379400000000004</v>
      </c>
      <c r="Q283" s="999">
        <f t="shared" si="11"/>
        <v>269.51</v>
      </c>
    </row>
    <row r="284" spans="1:17" s="168" customFormat="1" ht="38.25" customHeight="1">
      <c r="A284" s="162" t="s">
        <v>3109</v>
      </c>
      <c r="B284" s="249" t="s">
        <v>2294</v>
      </c>
      <c r="C284" s="177" t="s">
        <v>2295</v>
      </c>
      <c r="D284" s="170" t="s">
        <v>1791</v>
      </c>
      <c r="E284" s="537">
        <v>14</v>
      </c>
      <c r="F284" s="166"/>
      <c r="G284" s="166"/>
      <c r="H284" s="166"/>
      <c r="I284" s="166"/>
      <c r="J284" s="166"/>
      <c r="K284" s="166"/>
      <c r="L284" s="166"/>
      <c r="M284" s="166"/>
      <c r="N284" s="166"/>
      <c r="O284" s="166">
        <v>14</v>
      </c>
      <c r="P284" s="994">
        <f>31.97*1.245</f>
        <v>39.80265</v>
      </c>
      <c r="Q284" s="999">
        <f t="shared" si="11"/>
        <v>557.23</v>
      </c>
    </row>
    <row r="285" spans="1:17" s="168" customFormat="1" ht="32.1" customHeight="1">
      <c r="A285" s="162" t="s">
        <v>3110</v>
      </c>
      <c r="B285" s="165" t="s">
        <v>2290</v>
      </c>
      <c r="C285" s="177" t="s">
        <v>2291</v>
      </c>
      <c r="D285" s="165" t="s">
        <v>121</v>
      </c>
      <c r="E285" s="538">
        <v>4</v>
      </c>
      <c r="F285" s="182"/>
      <c r="G285" s="182"/>
      <c r="H285" s="182"/>
      <c r="I285" s="182"/>
      <c r="J285" s="182"/>
      <c r="K285" s="182"/>
      <c r="L285" s="182"/>
      <c r="M285" s="182"/>
      <c r="N285" s="182"/>
      <c r="O285" s="166">
        <v>4</v>
      </c>
      <c r="P285" s="995">
        <f>COMPOSIÇÕES!B2525</f>
        <v>68.562150000000003</v>
      </c>
      <c r="Q285" s="999">
        <f t="shared" si="11"/>
        <v>274.24</v>
      </c>
    </row>
    <row r="286" spans="1:17" s="168" customFormat="1" ht="37.5" customHeight="1">
      <c r="A286" s="162" t="s">
        <v>3111</v>
      </c>
      <c r="B286" s="165" t="s">
        <v>1856</v>
      </c>
      <c r="C286" s="177" t="s">
        <v>1857</v>
      </c>
      <c r="D286" s="165" t="s">
        <v>1452</v>
      </c>
      <c r="E286" s="538"/>
      <c r="F286" s="166"/>
      <c r="G286" s="166"/>
      <c r="H286" s="166">
        <v>2</v>
      </c>
      <c r="I286" s="166"/>
      <c r="J286" s="166"/>
      <c r="K286" s="166"/>
      <c r="L286" s="166"/>
      <c r="M286" s="166"/>
      <c r="N286" s="166"/>
      <c r="O286" s="166">
        <v>2</v>
      </c>
      <c r="P286" s="995">
        <f>109.2*1.245</f>
        <v>135.95400000000001</v>
      </c>
      <c r="Q286" s="999">
        <f t="shared" si="11"/>
        <v>271.89999999999998</v>
      </c>
    </row>
    <row r="287" spans="1:17" s="168" customFormat="1" ht="35.25" customHeight="1">
      <c r="A287" s="162" t="s">
        <v>3112</v>
      </c>
      <c r="B287" s="165" t="s">
        <v>819</v>
      </c>
      <c r="C287" s="177" t="s">
        <v>1858</v>
      </c>
      <c r="D287" s="165" t="s">
        <v>12</v>
      </c>
      <c r="E287" s="538">
        <f>((2.5*0.9)*2)*2</f>
        <v>9</v>
      </c>
      <c r="F287" s="166"/>
      <c r="G287" s="166"/>
      <c r="H287" s="166">
        <f>0.5*0.9*2</f>
        <v>0.9</v>
      </c>
      <c r="I287" s="166"/>
      <c r="J287" s="166"/>
      <c r="K287" s="166"/>
      <c r="L287" s="166"/>
      <c r="M287" s="166"/>
      <c r="N287" s="166"/>
      <c r="O287" s="166">
        <v>9.9</v>
      </c>
      <c r="P287" s="995">
        <f>374.54*1.245</f>
        <v>466.30230000000006</v>
      </c>
      <c r="Q287" s="999">
        <f t="shared" si="11"/>
        <v>4616.3900000000003</v>
      </c>
    </row>
    <row r="288" spans="1:17" s="168" customFormat="1" ht="78" customHeight="1">
      <c r="A288" s="162" t="s">
        <v>3113</v>
      </c>
      <c r="B288" s="249" t="s">
        <v>1802</v>
      </c>
      <c r="C288" s="190" t="s">
        <v>1823</v>
      </c>
      <c r="D288" s="170" t="s">
        <v>1791</v>
      </c>
      <c r="E288" s="567">
        <v>5</v>
      </c>
      <c r="F288" s="269"/>
      <c r="G288" s="269"/>
      <c r="H288" s="269"/>
      <c r="I288" s="269"/>
      <c r="J288" s="269"/>
      <c r="K288" s="269"/>
      <c r="L288" s="269"/>
      <c r="M288" s="269"/>
      <c r="N288" s="269"/>
      <c r="O288" s="166">
        <v>5</v>
      </c>
      <c r="P288" s="1001">
        <f>COMPOSIÇÕES!B2541</f>
        <v>154.52940000000001</v>
      </c>
      <c r="Q288" s="999">
        <f t="shared" si="11"/>
        <v>772.64</v>
      </c>
    </row>
    <row r="289" spans="1:17" s="168" customFormat="1" ht="69.75" customHeight="1">
      <c r="A289" s="162" t="s">
        <v>3114</v>
      </c>
      <c r="B289" s="249" t="s">
        <v>1801</v>
      </c>
      <c r="C289" s="190" t="s">
        <v>1804</v>
      </c>
      <c r="D289" s="170" t="s">
        <v>1791</v>
      </c>
      <c r="E289" s="567">
        <v>2</v>
      </c>
      <c r="F289" s="269"/>
      <c r="G289" s="269"/>
      <c r="H289" s="269"/>
      <c r="I289" s="269"/>
      <c r="J289" s="269"/>
      <c r="K289" s="269"/>
      <c r="L289" s="269"/>
      <c r="M289" s="269"/>
      <c r="N289" s="269"/>
      <c r="O289" s="166">
        <v>2</v>
      </c>
      <c r="P289" s="1001">
        <f>COMPOSIÇÕES!B2559</f>
        <v>154.74105</v>
      </c>
      <c r="Q289" s="999">
        <f t="shared" si="11"/>
        <v>309.48</v>
      </c>
    </row>
    <row r="290" spans="1:17" s="168" customFormat="1" ht="72.75" customHeight="1">
      <c r="A290" s="162" t="s">
        <v>3115</v>
      </c>
      <c r="B290" s="249" t="s">
        <v>1803</v>
      </c>
      <c r="C290" s="190" t="s">
        <v>2301</v>
      </c>
      <c r="D290" s="170" t="s">
        <v>1791</v>
      </c>
      <c r="E290" s="567">
        <v>2</v>
      </c>
      <c r="F290" s="269"/>
      <c r="G290" s="269"/>
      <c r="H290" s="269"/>
      <c r="I290" s="269"/>
      <c r="J290" s="269"/>
      <c r="K290" s="269"/>
      <c r="L290" s="269"/>
      <c r="M290" s="269"/>
      <c r="N290" s="269"/>
      <c r="O290" s="166">
        <v>2</v>
      </c>
      <c r="P290" s="1001">
        <f>COMPOSIÇÕES!B2577</f>
        <v>129.75389999999999</v>
      </c>
      <c r="Q290" s="999">
        <f t="shared" si="11"/>
        <v>259.5</v>
      </c>
    </row>
    <row r="291" spans="1:17" s="168" customFormat="1" ht="72.75" customHeight="1">
      <c r="A291" s="162" t="s">
        <v>3116</v>
      </c>
      <c r="B291" s="249" t="s">
        <v>1805</v>
      </c>
      <c r="C291" s="190" t="s">
        <v>2639</v>
      </c>
      <c r="D291" s="170" t="s">
        <v>1791</v>
      </c>
      <c r="E291" s="567">
        <v>2</v>
      </c>
      <c r="F291" s="269"/>
      <c r="G291" s="269"/>
      <c r="H291" s="269"/>
      <c r="I291" s="269"/>
      <c r="J291" s="269"/>
      <c r="K291" s="269"/>
      <c r="L291" s="269"/>
      <c r="M291" s="269"/>
      <c r="N291" s="269"/>
      <c r="O291" s="166">
        <v>2</v>
      </c>
      <c r="P291" s="1009">
        <f>COMPOSIÇÕES!B2595</f>
        <v>667.19550000000004</v>
      </c>
      <c r="Q291" s="999">
        <f t="shared" si="11"/>
        <v>1334.39</v>
      </c>
    </row>
    <row r="292" spans="1:17" s="168" customFormat="1" ht="33.75" customHeight="1">
      <c r="A292" s="263"/>
      <c r="B292" s="704"/>
      <c r="C292" s="710" t="s">
        <v>2590</v>
      </c>
      <c r="D292" s="265"/>
      <c r="E292" s="707"/>
      <c r="F292" s="708"/>
      <c r="G292" s="708"/>
      <c r="H292" s="708"/>
      <c r="I292" s="708"/>
      <c r="J292" s="708"/>
      <c r="K292" s="708"/>
      <c r="L292" s="708"/>
      <c r="M292" s="708"/>
      <c r="N292" s="708"/>
      <c r="O292" s="266"/>
      <c r="P292" s="709"/>
      <c r="Q292" s="984">
        <f>SUM(Q257:Q291)</f>
        <v>81897.039999999994</v>
      </c>
    </row>
    <row r="293" spans="1:17" s="168" customFormat="1" ht="32.1" customHeight="1">
      <c r="A293" s="209" t="s">
        <v>3313</v>
      </c>
      <c r="B293" s="225"/>
      <c r="C293" s="206" t="s">
        <v>1184</v>
      </c>
      <c r="D293" s="251"/>
      <c r="E293" s="549"/>
      <c r="F293" s="253"/>
      <c r="G293" s="253"/>
      <c r="H293" s="253"/>
      <c r="I293" s="253"/>
      <c r="J293" s="253"/>
      <c r="K293" s="253"/>
      <c r="L293" s="253"/>
      <c r="M293" s="253"/>
      <c r="N293" s="253"/>
      <c r="O293" s="253"/>
      <c r="P293" s="254"/>
      <c r="Q293" s="254"/>
    </row>
    <row r="294" spans="1:17" s="168" customFormat="1" ht="36.75" customHeight="1">
      <c r="A294" s="162" t="s">
        <v>3321</v>
      </c>
      <c r="B294" s="163" t="s">
        <v>1099</v>
      </c>
      <c r="C294" s="177" t="s">
        <v>2549</v>
      </c>
      <c r="D294" s="170" t="s">
        <v>4</v>
      </c>
      <c r="E294" s="537">
        <v>56.86</v>
      </c>
      <c r="F294" s="166"/>
      <c r="G294" s="166"/>
      <c r="H294" s="166"/>
      <c r="I294" s="166"/>
      <c r="J294" s="166"/>
      <c r="K294" s="166"/>
      <c r="L294" s="166"/>
      <c r="M294" s="166"/>
      <c r="N294" s="166"/>
      <c r="O294" s="166">
        <v>56.86</v>
      </c>
      <c r="P294" s="994">
        <f>COMPOSIÇÕES!B2376</f>
        <v>44.907149999999987</v>
      </c>
      <c r="Q294" s="999">
        <f>TRUNC(O294*P294,2)</f>
        <v>2553.42</v>
      </c>
    </row>
    <row r="295" spans="1:17" s="168" customFormat="1" ht="36.75" customHeight="1">
      <c r="A295" s="263"/>
      <c r="B295" s="704"/>
      <c r="C295" s="711" t="s">
        <v>2589</v>
      </c>
      <c r="D295" s="265"/>
      <c r="E295" s="558"/>
      <c r="F295" s="266"/>
      <c r="G295" s="266"/>
      <c r="H295" s="266"/>
      <c r="I295" s="266"/>
      <c r="J295" s="266"/>
      <c r="K295" s="266"/>
      <c r="L295" s="266"/>
      <c r="M295" s="266"/>
      <c r="N295" s="266"/>
      <c r="O295" s="266"/>
      <c r="P295" s="267"/>
      <c r="Q295" s="260">
        <f>Q294</f>
        <v>2553.42</v>
      </c>
    </row>
    <row r="296" spans="1:17" s="168" customFormat="1" ht="30" customHeight="1">
      <c r="A296" s="209" t="s">
        <v>1183</v>
      </c>
      <c r="B296" s="225"/>
      <c r="C296" s="252" t="s">
        <v>1185</v>
      </c>
      <c r="D296" s="251"/>
      <c r="E296" s="549"/>
      <c r="F296" s="253"/>
      <c r="G296" s="253"/>
      <c r="H296" s="253"/>
      <c r="I296" s="253"/>
      <c r="J296" s="253"/>
      <c r="K296" s="253"/>
      <c r="L296" s="253"/>
      <c r="M296" s="253"/>
      <c r="N296" s="253"/>
      <c r="O296" s="253"/>
      <c r="P296" s="254"/>
      <c r="Q296" s="260"/>
    </row>
    <row r="297" spans="1:17" s="168" customFormat="1" ht="69" customHeight="1">
      <c r="A297" s="162" t="s">
        <v>2490</v>
      </c>
      <c r="B297" s="249" t="s">
        <v>2313</v>
      </c>
      <c r="C297" s="177" t="s">
        <v>2312</v>
      </c>
      <c r="D297" s="170" t="s">
        <v>1452</v>
      </c>
      <c r="E297" s="537"/>
      <c r="F297" s="166"/>
      <c r="G297" s="166"/>
      <c r="H297" s="166"/>
      <c r="I297" s="166"/>
      <c r="J297" s="166"/>
      <c r="K297" s="166"/>
      <c r="L297" s="166"/>
      <c r="M297" s="166"/>
      <c r="N297" s="166">
        <v>4</v>
      </c>
      <c r="O297" s="166">
        <v>4</v>
      </c>
      <c r="P297" s="994">
        <f>966.1*1.245</f>
        <v>1202.7945000000002</v>
      </c>
      <c r="Q297" s="999">
        <f t="shared" ref="Q297:Q313" si="12">TRUNC(O297*P297,2)</f>
        <v>4811.17</v>
      </c>
    </row>
    <row r="298" spans="1:17" s="168" customFormat="1" ht="40.5" customHeight="1">
      <c r="A298" s="162" t="s">
        <v>3322</v>
      </c>
      <c r="B298" s="249" t="s">
        <v>2636</v>
      </c>
      <c r="C298" s="177" t="s">
        <v>2637</v>
      </c>
      <c r="D298" s="170" t="s">
        <v>1452</v>
      </c>
      <c r="E298" s="537"/>
      <c r="F298" s="166"/>
      <c r="G298" s="166"/>
      <c r="H298" s="166"/>
      <c r="I298" s="166"/>
      <c r="J298" s="166"/>
      <c r="K298" s="166"/>
      <c r="L298" s="166"/>
      <c r="M298" s="166"/>
      <c r="N298" s="166">
        <v>1</v>
      </c>
      <c r="O298" s="166">
        <v>1</v>
      </c>
      <c r="P298" s="994">
        <f>1905.32*1.245</f>
        <v>2372.1233999999999</v>
      </c>
      <c r="Q298" s="999">
        <f t="shared" si="12"/>
        <v>2372.12</v>
      </c>
    </row>
    <row r="299" spans="1:17" s="168" customFormat="1" ht="33" customHeight="1">
      <c r="A299" s="162" t="s">
        <v>3323</v>
      </c>
      <c r="B299" s="249" t="s">
        <v>2392</v>
      </c>
      <c r="C299" s="177" t="s">
        <v>2314</v>
      </c>
      <c r="D299" s="170" t="s">
        <v>1452</v>
      </c>
      <c r="E299" s="537"/>
      <c r="F299" s="166"/>
      <c r="G299" s="166"/>
      <c r="H299" s="166"/>
      <c r="I299" s="166"/>
      <c r="J299" s="166"/>
      <c r="K299" s="166"/>
      <c r="L299" s="166"/>
      <c r="M299" s="166"/>
      <c r="N299" s="166">
        <v>2</v>
      </c>
      <c r="O299" s="166">
        <v>2</v>
      </c>
      <c r="P299" s="994">
        <f>317.47*1.245</f>
        <v>395.25015000000008</v>
      </c>
      <c r="Q299" s="999">
        <f t="shared" si="12"/>
        <v>790.5</v>
      </c>
    </row>
    <row r="300" spans="1:17" s="168" customFormat="1" ht="30" customHeight="1">
      <c r="A300" s="162" t="s">
        <v>3324</v>
      </c>
      <c r="B300" s="170" t="s">
        <v>3133</v>
      </c>
      <c r="C300" s="269" t="s">
        <v>2315</v>
      </c>
      <c r="D300" s="170" t="s">
        <v>1452</v>
      </c>
      <c r="E300" s="170"/>
      <c r="F300" s="269"/>
      <c r="G300" s="269"/>
      <c r="H300" s="269"/>
      <c r="I300" s="269"/>
      <c r="J300" s="269"/>
      <c r="K300" s="269"/>
      <c r="L300" s="269"/>
      <c r="M300" s="269"/>
      <c r="N300" s="624">
        <v>11</v>
      </c>
      <c r="O300" s="166">
        <v>11</v>
      </c>
      <c r="P300" s="1001">
        <f>145.71*1.245</f>
        <v>181.40895000000003</v>
      </c>
      <c r="Q300" s="999">
        <f t="shared" si="12"/>
        <v>1995.49</v>
      </c>
    </row>
    <row r="301" spans="1:17" s="168" customFormat="1" ht="33" customHeight="1">
      <c r="A301" s="162" t="s">
        <v>3325</v>
      </c>
      <c r="B301" s="249" t="s">
        <v>2581</v>
      </c>
      <c r="C301" s="190" t="s">
        <v>2317</v>
      </c>
      <c r="D301" s="170" t="s">
        <v>1452</v>
      </c>
      <c r="E301" s="537"/>
      <c r="F301" s="166"/>
      <c r="G301" s="166"/>
      <c r="H301" s="166"/>
      <c r="I301" s="166"/>
      <c r="J301" s="166"/>
      <c r="K301" s="166"/>
      <c r="L301" s="166"/>
      <c r="M301" s="166"/>
      <c r="N301" s="166">
        <v>21</v>
      </c>
      <c r="O301" s="166">
        <v>21</v>
      </c>
      <c r="P301" s="994">
        <f>115.66*1.245</f>
        <v>143.9967</v>
      </c>
      <c r="Q301" s="999">
        <f t="shared" si="12"/>
        <v>3023.93</v>
      </c>
    </row>
    <row r="302" spans="1:17" s="168" customFormat="1" ht="30" customHeight="1">
      <c r="A302" s="162" t="s">
        <v>3326</v>
      </c>
      <c r="B302" s="249" t="s">
        <v>2582</v>
      </c>
      <c r="C302" s="177" t="s">
        <v>2580</v>
      </c>
      <c r="D302" s="170" t="s">
        <v>1452</v>
      </c>
      <c r="E302" s="537"/>
      <c r="F302" s="166"/>
      <c r="G302" s="166"/>
      <c r="H302" s="166"/>
      <c r="I302" s="166"/>
      <c r="J302" s="166"/>
      <c r="K302" s="166"/>
      <c r="L302" s="166"/>
      <c r="M302" s="166"/>
      <c r="N302" s="166">
        <v>39</v>
      </c>
      <c r="O302" s="166">
        <v>39</v>
      </c>
      <c r="P302" s="994">
        <f>22.42*1.245</f>
        <v>27.912900000000004</v>
      </c>
      <c r="Q302" s="999">
        <f t="shared" si="12"/>
        <v>1088.5999999999999</v>
      </c>
    </row>
    <row r="303" spans="1:17" s="168" customFormat="1" ht="40.5" customHeight="1">
      <c r="A303" s="162" t="s">
        <v>3327</v>
      </c>
      <c r="B303" s="249" t="s">
        <v>3134</v>
      </c>
      <c r="C303" s="177" t="s">
        <v>2316</v>
      </c>
      <c r="D303" s="170" t="s">
        <v>1452</v>
      </c>
      <c r="E303" s="537"/>
      <c r="F303" s="166"/>
      <c r="G303" s="166"/>
      <c r="H303" s="166"/>
      <c r="I303" s="166"/>
      <c r="J303" s="166"/>
      <c r="K303" s="166"/>
      <c r="L303" s="166"/>
      <c r="M303" s="166"/>
      <c r="N303" s="166">
        <v>11</v>
      </c>
      <c r="O303" s="166">
        <v>11</v>
      </c>
      <c r="P303" s="994">
        <f>156.97*1.245</f>
        <v>195.42765000000003</v>
      </c>
      <c r="Q303" s="999">
        <f t="shared" si="12"/>
        <v>2149.6999999999998</v>
      </c>
    </row>
    <row r="304" spans="1:17" s="168" customFormat="1" ht="30" customHeight="1">
      <c r="A304" s="162" t="s">
        <v>3328</v>
      </c>
      <c r="B304" s="249" t="s">
        <v>3135</v>
      </c>
      <c r="C304" s="177" t="s">
        <v>2150</v>
      </c>
      <c r="D304" s="170" t="s">
        <v>1487</v>
      </c>
      <c r="E304" s="537"/>
      <c r="F304" s="166"/>
      <c r="G304" s="166"/>
      <c r="H304" s="166"/>
      <c r="I304" s="166"/>
      <c r="J304" s="166"/>
      <c r="K304" s="166"/>
      <c r="L304" s="166"/>
      <c r="M304" s="166"/>
      <c r="N304" s="166">
        <f>33+29.5</f>
        <v>62.5</v>
      </c>
      <c r="O304" s="166">
        <v>62.5</v>
      </c>
      <c r="P304" s="994">
        <f>COMPOSIÇÕES!B2000</f>
        <v>22.6341</v>
      </c>
      <c r="Q304" s="999">
        <f t="shared" si="12"/>
        <v>1414.63</v>
      </c>
    </row>
    <row r="305" spans="1:17" s="168" customFormat="1" ht="32.25" customHeight="1">
      <c r="A305" s="162" t="s">
        <v>3329</v>
      </c>
      <c r="B305" s="170" t="s">
        <v>2583</v>
      </c>
      <c r="C305" s="190" t="s">
        <v>2318</v>
      </c>
      <c r="D305" s="170" t="s">
        <v>1452</v>
      </c>
      <c r="E305" s="269"/>
      <c r="F305" s="269"/>
      <c r="G305" s="269"/>
      <c r="H305" s="269"/>
      <c r="I305" s="269"/>
      <c r="J305" s="269"/>
      <c r="K305" s="269"/>
      <c r="L305" s="269"/>
      <c r="M305" s="269"/>
      <c r="N305" s="624">
        <v>1</v>
      </c>
      <c r="O305" s="624">
        <v>1</v>
      </c>
      <c r="P305" s="1000">
        <f>390.28*1.245</f>
        <v>485.89859999999999</v>
      </c>
      <c r="Q305" s="999">
        <f t="shared" si="12"/>
        <v>485.89</v>
      </c>
    </row>
    <row r="306" spans="1:17" s="168" customFormat="1" ht="53.25" customHeight="1">
      <c r="A306" s="162" t="s">
        <v>3330</v>
      </c>
      <c r="B306" s="170" t="s">
        <v>2611</v>
      </c>
      <c r="C306" s="190" t="s">
        <v>2612</v>
      </c>
      <c r="D306" s="170" t="s">
        <v>391</v>
      </c>
      <c r="E306" s="269"/>
      <c r="F306" s="269"/>
      <c r="G306" s="269"/>
      <c r="H306" s="269"/>
      <c r="I306" s="269"/>
      <c r="J306" s="269"/>
      <c r="K306" s="269"/>
      <c r="L306" s="269"/>
      <c r="M306" s="269"/>
      <c r="N306" s="624">
        <f>150+50</f>
        <v>200</v>
      </c>
      <c r="O306" s="624">
        <v>200</v>
      </c>
      <c r="P306" s="1000">
        <f>94.45*1.245</f>
        <v>117.59025000000001</v>
      </c>
      <c r="Q306" s="999">
        <f t="shared" si="12"/>
        <v>23518.05</v>
      </c>
    </row>
    <row r="307" spans="1:17" s="168" customFormat="1" ht="37.5" customHeight="1">
      <c r="A307" s="162" t="s">
        <v>3331</v>
      </c>
      <c r="B307" s="170"/>
      <c r="C307" s="177" t="s">
        <v>2614</v>
      </c>
      <c r="D307" s="170" t="s">
        <v>391</v>
      </c>
      <c r="E307" s="269"/>
      <c r="F307" s="269"/>
      <c r="G307" s="269"/>
      <c r="H307" s="269"/>
      <c r="I307" s="269"/>
      <c r="J307" s="269"/>
      <c r="K307" s="269"/>
      <c r="L307" s="269"/>
      <c r="M307" s="269"/>
      <c r="N307" s="624">
        <v>150</v>
      </c>
      <c r="O307" s="624">
        <v>150</v>
      </c>
      <c r="P307" s="1000">
        <f>COMPOSIÇÕES!B2142</f>
        <v>19.496700000000001</v>
      </c>
      <c r="Q307" s="999">
        <f t="shared" si="12"/>
        <v>2924.5</v>
      </c>
    </row>
    <row r="308" spans="1:17" s="168" customFormat="1" ht="32.25" customHeight="1">
      <c r="A308" s="162" t="s">
        <v>3332</v>
      </c>
      <c r="B308" s="170" t="s">
        <v>447</v>
      </c>
      <c r="C308" s="177" t="s">
        <v>1862</v>
      </c>
      <c r="D308" s="170" t="s">
        <v>1316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624">
        <f>(N306+N307)*0.3*0.2</f>
        <v>21</v>
      </c>
      <c r="O308" s="624">
        <v>21</v>
      </c>
      <c r="P308" s="994">
        <f>COMPOSIÇÕES!B296</f>
        <v>78.347849999999994</v>
      </c>
      <c r="Q308" s="999">
        <f t="shared" si="12"/>
        <v>1645.3</v>
      </c>
    </row>
    <row r="309" spans="1:17" s="168" customFormat="1" ht="32.25" customHeight="1">
      <c r="A309" s="162" t="s">
        <v>3333</v>
      </c>
      <c r="B309" s="249" t="s">
        <v>1123</v>
      </c>
      <c r="C309" s="177" t="s">
        <v>1694</v>
      </c>
      <c r="D309" s="170" t="s">
        <v>1316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624">
        <f>N308-(3.14*0.065*0.065*N306)-(3.14*0.05*0.05*N307)</f>
        <v>17.169199999999996</v>
      </c>
      <c r="O309" s="624">
        <v>17.169199999999996</v>
      </c>
      <c r="P309" s="994">
        <f>COMPOSIÇÕES!B328</f>
        <v>47.496749999999999</v>
      </c>
      <c r="Q309" s="999">
        <f t="shared" si="12"/>
        <v>815.48</v>
      </c>
    </row>
    <row r="310" spans="1:17" s="168" customFormat="1" ht="32.25" customHeight="1">
      <c r="A310" s="162" t="s">
        <v>3334</v>
      </c>
      <c r="B310" s="249" t="s">
        <v>2394</v>
      </c>
      <c r="C310" s="190" t="s">
        <v>2319</v>
      </c>
      <c r="D310" s="170" t="s">
        <v>1452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624">
        <v>3</v>
      </c>
      <c r="O310" s="624">
        <v>3</v>
      </c>
      <c r="P310" s="1011">
        <f>1116.59*1.245</f>
        <v>1390.15455</v>
      </c>
      <c r="Q310" s="999">
        <f t="shared" si="12"/>
        <v>4170.46</v>
      </c>
    </row>
    <row r="311" spans="1:17" s="168" customFormat="1" ht="32.25" customHeight="1">
      <c r="A311" s="162" t="s">
        <v>3335</v>
      </c>
      <c r="B311" s="170" t="s">
        <v>2395</v>
      </c>
      <c r="C311" s="190" t="s">
        <v>2396</v>
      </c>
      <c r="D311" s="170" t="s">
        <v>1452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624">
        <v>4</v>
      </c>
      <c r="O311" s="624">
        <v>4</v>
      </c>
      <c r="P311" s="1000">
        <f>236.59*1.245</f>
        <v>294.55455000000001</v>
      </c>
      <c r="Q311" s="999">
        <f t="shared" si="12"/>
        <v>1178.21</v>
      </c>
    </row>
    <row r="312" spans="1:17" s="168" customFormat="1" ht="32.25" customHeight="1">
      <c r="A312" s="162" t="s">
        <v>3336</v>
      </c>
      <c r="B312" s="170" t="s">
        <v>2397</v>
      </c>
      <c r="C312" s="190" t="s">
        <v>2320</v>
      </c>
      <c r="D312" s="170" t="s">
        <v>1452</v>
      </c>
      <c r="E312" s="269"/>
      <c r="F312" s="269"/>
      <c r="G312" s="269"/>
      <c r="H312" s="269"/>
      <c r="I312" s="269"/>
      <c r="J312" s="269"/>
      <c r="K312" s="269"/>
      <c r="L312" s="269"/>
      <c r="M312" s="269"/>
      <c r="N312" s="624">
        <v>5</v>
      </c>
      <c r="O312" s="624">
        <v>5</v>
      </c>
      <c r="P312" s="1000">
        <f>196.33*1.245</f>
        <v>244.43085000000005</v>
      </c>
      <c r="Q312" s="999">
        <f t="shared" si="12"/>
        <v>1222.1500000000001</v>
      </c>
    </row>
    <row r="313" spans="1:17" s="168" customFormat="1" ht="48.75" customHeight="1">
      <c r="A313" s="162" t="s">
        <v>3337</v>
      </c>
      <c r="B313" s="190" t="s">
        <v>2398</v>
      </c>
      <c r="C313" s="269" t="s">
        <v>2321</v>
      </c>
      <c r="D313" s="170" t="s">
        <v>1452</v>
      </c>
      <c r="E313" s="170"/>
      <c r="F313" s="269"/>
      <c r="G313" s="269"/>
      <c r="H313" s="269"/>
      <c r="I313" s="269"/>
      <c r="J313" s="269"/>
      <c r="K313" s="269"/>
      <c r="L313" s="269"/>
      <c r="M313" s="269"/>
      <c r="N313" s="624">
        <v>11</v>
      </c>
      <c r="O313" s="166">
        <v>11</v>
      </c>
      <c r="P313" s="1001">
        <f>87.43*1.245</f>
        <v>108.85035000000002</v>
      </c>
      <c r="Q313" s="999">
        <f t="shared" si="12"/>
        <v>1197.3499999999999</v>
      </c>
    </row>
    <row r="314" spans="1:17" s="168" customFormat="1" ht="24.75" customHeight="1">
      <c r="A314" s="263"/>
      <c r="B314" s="705"/>
      <c r="C314" s="262" t="s">
        <v>2588</v>
      </c>
      <c r="D314" s="705"/>
      <c r="E314" s="227"/>
      <c r="F314" s="705"/>
      <c r="G314" s="705"/>
      <c r="H314" s="705"/>
      <c r="I314" s="705"/>
      <c r="J314" s="705"/>
      <c r="K314" s="705"/>
      <c r="L314" s="705"/>
      <c r="M314" s="705"/>
      <c r="N314" s="705"/>
      <c r="O314" s="228"/>
      <c r="P314" s="706"/>
      <c r="Q314" s="985">
        <f>SUM(Q297:Q313)</f>
        <v>54803.530000000006</v>
      </c>
    </row>
    <row r="315" spans="1:17" s="160" customFormat="1" ht="32.25" customHeight="1">
      <c r="A315" s="210"/>
      <c r="B315" s="235"/>
      <c r="C315" s="243" t="s">
        <v>1186</v>
      </c>
      <c r="D315" s="235"/>
      <c r="E315" s="548"/>
      <c r="F315" s="236"/>
      <c r="G315" s="236"/>
      <c r="H315" s="236"/>
      <c r="I315" s="236"/>
      <c r="J315" s="236"/>
      <c r="K315" s="236"/>
      <c r="L315" s="236"/>
      <c r="M315" s="236"/>
      <c r="N315" s="236"/>
      <c r="O315" s="236"/>
      <c r="P315" s="237"/>
      <c r="Q315" s="237">
        <f>Q191+Q207+Q233+Q255+Q292+Q295+Q314</f>
        <v>890573.16</v>
      </c>
    </row>
    <row r="316" spans="1:17" s="160" customFormat="1" ht="18" customHeight="1">
      <c r="A316" s="284"/>
      <c r="B316" s="285"/>
      <c r="C316" s="286"/>
      <c r="D316" s="285"/>
      <c r="E316" s="559"/>
      <c r="F316" s="287"/>
      <c r="G316" s="287"/>
      <c r="H316" s="287"/>
      <c r="I316" s="287"/>
      <c r="J316" s="287"/>
      <c r="K316" s="287"/>
      <c r="L316" s="287"/>
      <c r="M316" s="287"/>
      <c r="N316" s="287"/>
      <c r="O316" s="287"/>
      <c r="P316" s="288"/>
      <c r="Q316" s="288"/>
    </row>
    <row r="317" spans="1:17" s="160" customFormat="1" ht="29.25" customHeight="1">
      <c r="A317" s="210" t="s">
        <v>1187</v>
      </c>
      <c r="B317" s="235"/>
      <c r="C317" s="212" t="s">
        <v>1188</v>
      </c>
      <c r="D317" s="235" t="s">
        <v>2</v>
      </c>
      <c r="E317" s="548"/>
      <c r="F317" s="236"/>
      <c r="G317" s="236"/>
      <c r="H317" s="236"/>
      <c r="I317" s="236"/>
      <c r="J317" s="236"/>
      <c r="K317" s="236"/>
      <c r="L317" s="236"/>
      <c r="M317" s="236"/>
      <c r="N317" s="236"/>
      <c r="O317" s="236"/>
      <c r="P317" s="237" t="s">
        <v>0</v>
      </c>
      <c r="Q317" s="237"/>
    </row>
    <row r="318" spans="1:17" s="160" customFormat="1" ht="29.25" customHeight="1">
      <c r="A318" s="209" t="s">
        <v>1189</v>
      </c>
      <c r="B318" s="225"/>
      <c r="C318" s="252" t="s">
        <v>1824</v>
      </c>
      <c r="D318" s="251"/>
      <c r="E318" s="549"/>
      <c r="F318" s="253"/>
      <c r="G318" s="253"/>
      <c r="H318" s="253"/>
      <c r="I318" s="253"/>
      <c r="J318" s="253"/>
      <c r="K318" s="253"/>
      <c r="L318" s="253"/>
      <c r="M318" s="253"/>
      <c r="N318" s="253"/>
      <c r="O318" s="253"/>
      <c r="P318" s="254"/>
      <c r="Q318" s="254"/>
    </row>
    <row r="319" spans="1:17" s="160" customFormat="1" ht="48" customHeight="1">
      <c r="A319" s="162" t="s">
        <v>1835</v>
      </c>
      <c r="B319" s="249" t="s">
        <v>2399</v>
      </c>
      <c r="C319" s="177" t="s">
        <v>1831</v>
      </c>
      <c r="D319" s="170" t="s">
        <v>1487</v>
      </c>
      <c r="E319" s="537"/>
      <c r="F319" s="166"/>
      <c r="G319" s="166"/>
      <c r="H319" s="537">
        <f>4*1.85*(0.7+0.9)</f>
        <v>11.840000000000002</v>
      </c>
      <c r="I319" s="256"/>
      <c r="J319" s="256"/>
      <c r="K319" s="256"/>
      <c r="L319" s="256"/>
      <c r="M319" s="256"/>
      <c r="N319" s="256"/>
      <c r="O319" s="166">
        <v>11.840000000000002</v>
      </c>
      <c r="P319" s="994">
        <f>777.29*1.245</f>
        <v>967.72604999999999</v>
      </c>
      <c r="Q319" s="999">
        <f t="shared" ref="Q319:Q330" si="13">TRUNC(O319*P319,2)</f>
        <v>11457.87</v>
      </c>
    </row>
    <row r="320" spans="1:17" s="160" customFormat="1" ht="37.5" customHeight="1">
      <c r="A320" s="162" t="s">
        <v>1836</v>
      </c>
      <c r="B320" s="249" t="s">
        <v>2400</v>
      </c>
      <c r="C320" s="177" t="s">
        <v>1830</v>
      </c>
      <c r="D320" s="170" t="s">
        <v>1487</v>
      </c>
      <c r="E320" s="537"/>
      <c r="F320" s="166"/>
      <c r="G320" s="166"/>
      <c r="H320" s="537">
        <f>2.2*(0.7+0.9)</f>
        <v>3.5200000000000005</v>
      </c>
      <c r="I320" s="256"/>
      <c r="J320" s="256"/>
      <c r="K320" s="256"/>
      <c r="L320" s="256"/>
      <c r="M320" s="256"/>
      <c r="N320" s="256"/>
      <c r="O320" s="166">
        <v>3.5200000000000005</v>
      </c>
      <c r="P320" s="994">
        <f>899.82*1.245</f>
        <v>1120.2759000000001</v>
      </c>
      <c r="Q320" s="999">
        <f t="shared" si="13"/>
        <v>3943.37</v>
      </c>
    </row>
    <row r="321" spans="1:17" s="160" customFormat="1" ht="36" customHeight="1">
      <c r="A321" s="162" t="s">
        <v>1837</v>
      </c>
      <c r="B321" s="249" t="s">
        <v>2400</v>
      </c>
      <c r="C321" s="177" t="s">
        <v>1829</v>
      </c>
      <c r="D321" s="170" t="s">
        <v>1487</v>
      </c>
      <c r="E321" s="537"/>
      <c r="F321" s="166"/>
      <c r="G321" s="166"/>
      <c r="H321" s="537">
        <f>1.85*(0.7+0.9)</f>
        <v>2.9600000000000004</v>
      </c>
      <c r="I321" s="256"/>
      <c r="J321" s="256"/>
      <c r="K321" s="256"/>
      <c r="L321" s="256"/>
      <c r="M321" s="256"/>
      <c r="N321" s="256"/>
      <c r="O321" s="166">
        <v>2.9600000000000004</v>
      </c>
      <c r="P321" s="994">
        <f>899.82*1.245</f>
        <v>1120.2759000000001</v>
      </c>
      <c r="Q321" s="999">
        <f t="shared" si="13"/>
        <v>3316.01</v>
      </c>
    </row>
    <row r="322" spans="1:17" s="160" customFormat="1" ht="48.75" customHeight="1">
      <c r="A322" s="162" t="s">
        <v>1838</v>
      </c>
      <c r="B322" s="249" t="s">
        <v>2399</v>
      </c>
      <c r="C322" s="177" t="s">
        <v>1828</v>
      </c>
      <c r="D322" s="170" t="s">
        <v>1487</v>
      </c>
      <c r="E322" s="537"/>
      <c r="F322" s="166"/>
      <c r="G322" s="166"/>
      <c r="H322" s="537">
        <f>1.85*(0.7+0.9)</f>
        <v>2.9600000000000004</v>
      </c>
      <c r="I322" s="256"/>
      <c r="J322" s="256"/>
      <c r="K322" s="256"/>
      <c r="L322" s="256"/>
      <c r="M322" s="256"/>
      <c r="N322" s="256"/>
      <c r="O322" s="166">
        <v>2.9600000000000004</v>
      </c>
      <c r="P322" s="994">
        <f>777.29*1.245</f>
        <v>967.72604999999999</v>
      </c>
      <c r="Q322" s="999">
        <f t="shared" si="13"/>
        <v>2864.46</v>
      </c>
    </row>
    <row r="323" spans="1:17" s="160" customFormat="1" ht="33.75" customHeight="1">
      <c r="A323" s="162" t="s">
        <v>1839</v>
      </c>
      <c r="B323" s="249" t="s">
        <v>2400</v>
      </c>
      <c r="C323" s="177" t="s">
        <v>1827</v>
      </c>
      <c r="D323" s="170" t="s">
        <v>1487</v>
      </c>
      <c r="E323" s="537"/>
      <c r="F323" s="166"/>
      <c r="G323" s="166"/>
      <c r="H323" s="537">
        <f>2*2.2*(0.7+0.9)</f>
        <v>7.0400000000000009</v>
      </c>
      <c r="I323" s="256"/>
      <c r="J323" s="256"/>
      <c r="K323" s="256"/>
      <c r="L323" s="256"/>
      <c r="M323" s="256"/>
      <c r="N323" s="256"/>
      <c r="O323" s="166">
        <v>7.0400000000000009</v>
      </c>
      <c r="P323" s="994">
        <f>899.82*1.245</f>
        <v>1120.2759000000001</v>
      </c>
      <c r="Q323" s="999">
        <f t="shared" si="13"/>
        <v>7886.74</v>
      </c>
    </row>
    <row r="324" spans="1:17" s="160" customFormat="1" ht="52.5" customHeight="1">
      <c r="A324" s="162" t="s">
        <v>1840</v>
      </c>
      <c r="B324" s="249" t="s">
        <v>2399</v>
      </c>
      <c r="C324" s="177" t="s">
        <v>1826</v>
      </c>
      <c r="D324" s="170" t="s">
        <v>1487</v>
      </c>
      <c r="E324" s="537"/>
      <c r="F324" s="166"/>
      <c r="G324" s="166"/>
      <c r="H324" s="537">
        <f>1.85*(0.7+0.9)</f>
        <v>2.9600000000000004</v>
      </c>
      <c r="I324" s="256"/>
      <c r="J324" s="256"/>
      <c r="K324" s="256"/>
      <c r="L324" s="256"/>
      <c r="M324" s="256"/>
      <c r="N324" s="256"/>
      <c r="O324" s="166">
        <v>2.9600000000000004</v>
      </c>
      <c r="P324" s="994">
        <f>777.29*1.245</f>
        <v>967.72604999999999</v>
      </c>
      <c r="Q324" s="999">
        <f t="shared" si="13"/>
        <v>2864.46</v>
      </c>
    </row>
    <row r="325" spans="1:17" s="160" customFormat="1" ht="33.75" customHeight="1">
      <c r="A325" s="162" t="s">
        <v>1841</v>
      </c>
      <c r="B325" s="249" t="s">
        <v>2400</v>
      </c>
      <c r="C325" s="177" t="s">
        <v>1834</v>
      </c>
      <c r="D325" s="170" t="s">
        <v>1487</v>
      </c>
      <c r="E325" s="537"/>
      <c r="F325" s="166"/>
      <c r="G325" s="166"/>
      <c r="H325" s="537">
        <f>1.11*(0.7+0.9)</f>
        <v>1.7760000000000002</v>
      </c>
      <c r="I325" s="256"/>
      <c r="J325" s="256"/>
      <c r="K325" s="256"/>
      <c r="L325" s="256"/>
      <c r="M325" s="256"/>
      <c r="N325" s="256"/>
      <c r="O325" s="166">
        <v>1.7760000000000002</v>
      </c>
      <c r="P325" s="994">
        <f>899.82*1.245</f>
        <v>1120.2759000000001</v>
      </c>
      <c r="Q325" s="999">
        <f t="shared" si="13"/>
        <v>1989.6</v>
      </c>
    </row>
    <row r="326" spans="1:17" s="160" customFormat="1" ht="53.25" customHeight="1">
      <c r="A326" s="162" t="s">
        <v>1842</v>
      </c>
      <c r="B326" s="249" t="s">
        <v>3136</v>
      </c>
      <c r="C326" s="177" t="s">
        <v>1832</v>
      </c>
      <c r="D326" s="170" t="s">
        <v>1487</v>
      </c>
      <c r="E326" s="537"/>
      <c r="F326" s="166"/>
      <c r="G326" s="166"/>
      <c r="H326" s="537">
        <f>0.45*(0.45+0.45)</f>
        <v>0.40500000000000003</v>
      </c>
      <c r="I326" s="256"/>
      <c r="J326" s="256"/>
      <c r="K326" s="256"/>
      <c r="L326" s="256"/>
      <c r="M326" s="256"/>
      <c r="N326" s="256"/>
      <c r="O326" s="166">
        <v>0.40500000000000003</v>
      </c>
      <c r="P326" s="994">
        <f xml:space="preserve"> 476.65*1.245</f>
        <v>593.42925000000002</v>
      </c>
      <c r="Q326" s="999">
        <f t="shared" si="13"/>
        <v>240.33</v>
      </c>
    </row>
    <row r="327" spans="1:17" s="160" customFormat="1" ht="29.25" customHeight="1">
      <c r="A327" s="162" t="s">
        <v>1843</v>
      </c>
      <c r="B327" s="249" t="s">
        <v>2401</v>
      </c>
      <c r="C327" s="177" t="s">
        <v>1833</v>
      </c>
      <c r="D327" s="170" t="s">
        <v>1452</v>
      </c>
      <c r="E327" s="537"/>
      <c r="F327" s="166"/>
      <c r="G327" s="166"/>
      <c r="H327" s="688">
        <v>8</v>
      </c>
      <c r="I327" s="256"/>
      <c r="J327" s="256"/>
      <c r="K327" s="256"/>
      <c r="L327" s="256"/>
      <c r="M327" s="256"/>
      <c r="N327" s="256"/>
      <c r="O327" s="166">
        <v>2</v>
      </c>
      <c r="P327" s="994">
        <f>1836.44*1.245</f>
        <v>2286.3678000000004</v>
      </c>
      <c r="Q327" s="999">
        <f t="shared" si="13"/>
        <v>4572.7299999999996</v>
      </c>
    </row>
    <row r="328" spans="1:17" s="160" customFormat="1" ht="29.25" customHeight="1">
      <c r="A328" s="162" t="s">
        <v>3282</v>
      </c>
      <c r="B328" s="249" t="s">
        <v>2453</v>
      </c>
      <c r="C328" s="1013" t="s">
        <v>2454</v>
      </c>
      <c r="D328" s="170" t="s">
        <v>1452</v>
      </c>
      <c r="E328" s="537"/>
      <c r="F328" s="166"/>
      <c r="G328" s="166"/>
      <c r="H328" s="537">
        <v>1</v>
      </c>
      <c r="I328" s="256"/>
      <c r="J328" s="256"/>
      <c r="K328" s="256"/>
      <c r="L328" s="256"/>
      <c r="M328" s="256"/>
      <c r="N328" s="256"/>
      <c r="O328" s="166">
        <v>1</v>
      </c>
      <c r="P328" s="994">
        <f>33213.4*1.245</f>
        <v>41350.683000000005</v>
      </c>
      <c r="Q328" s="999">
        <f t="shared" si="13"/>
        <v>41350.68</v>
      </c>
    </row>
    <row r="329" spans="1:17" s="160" customFormat="1" ht="29.25" customHeight="1">
      <c r="A329" s="162" t="s">
        <v>1844</v>
      </c>
      <c r="B329" s="249" t="s">
        <v>2450</v>
      </c>
      <c r="C329" s="177" t="s">
        <v>2452</v>
      </c>
      <c r="D329" s="170" t="s">
        <v>102</v>
      </c>
      <c r="E329" s="537"/>
      <c r="F329" s="166"/>
      <c r="G329" s="166"/>
      <c r="H329" s="537">
        <f>((0.6+0.6+0.875+0.875)*6.75)*9.42</f>
        <v>187.57575</v>
      </c>
      <c r="I329" s="256"/>
      <c r="J329" s="256"/>
      <c r="K329" s="256"/>
      <c r="L329" s="256"/>
      <c r="M329" s="256"/>
      <c r="N329" s="256"/>
      <c r="O329" s="166">
        <v>187.57575</v>
      </c>
      <c r="P329" s="994">
        <f>39.02*1.245</f>
        <v>48.579900000000009</v>
      </c>
      <c r="Q329" s="999">
        <f t="shared" si="13"/>
        <v>9112.41</v>
      </c>
    </row>
    <row r="330" spans="1:17" s="160" customFormat="1" ht="33.75" customHeight="1">
      <c r="A330" s="162" t="s">
        <v>1845</v>
      </c>
      <c r="B330" s="249" t="s">
        <v>2450</v>
      </c>
      <c r="C330" s="177" t="s">
        <v>2451</v>
      </c>
      <c r="D330" s="170" t="s">
        <v>102</v>
      </c>
      <c r="E330" s="537"/>
      <c r="F330" s="166"/>
      <c r="G330" s="166"/>
      <c r="H330" s="537">
        <f>((0.4+0.4+0.75+0.75)*6.75)*9.42</f>
        <v>146.24549999999999</v>
      </c>
      <c r="I330" s="256"/>
      <c r="J330" s="256"/>
      <c r="K330" s="256"/>
      <c r="L330" s="256"/>
      <c r="M330" s="256"/>
      <c r="N330" s="256"/>
      <c r="O330" s="166">
        <v>146.24549999999999</v>
      </c>
      <c r="P330" s="994">
        <f>P329</f>
        <v>48.579900000000009</v>
      </c>
      <c r="Q330" s="999">
        <f t="shared" si="13"/>
        <v>7104.59</v>
      </c>
    </row>
    <row r="331" spans="1:17" s="160" customFormat="1" ht="27" customHeight="1">
      <c r="A331" s="263"/>
      <c r="B331" s="704"/>
      <c r="C331" s="703" t="s">
        <v>2587</v>
      </c>
      <c r="D331" s="227"/>
      <c r="E331" s="547"/>
      <c r="F331" s="228"/>
      <c r="G331" s="228"/>
      <c r="H331" s="547"/>
      <c r="I331" s="259"/>
      <c r="J331" s="259"/>
      <c r="K331" s="259"/>
      <c r="L331" s="259"/>
      <c r="M331" s="259"/>
      <c r="N331" s="259"/>
      <c r="O331" s="228"/>
      <c r="P331" s="229"/>
      <c r="Q331" s="260">
        <f>SUM(Q319:Q330)</f>
        <v>96703.25</v>
      </c>
    </row>
    <row r="332" spans="1:17" s="160" customFormat="1" ht="29.25" customHeight="1">
      <c r="A332" s="209" t="s">
        <v>1192</v>
      </c>
      <c r="B332" s="225"/>
      <c r="C332" s="206" t="s">
        <v>2519</v>
      </c>
      <c r="D332" s="225"/>
      <c r="E332" s="553"/>
      <c r="F332" s="259"/>
      <c r="G332" s="259"/>
      <c r="H332" s="259"/>
      <c r="I332" s="259"/>
      <c r="J332" s="259"/>
      <c r="K332" s="259"/>
      <c r="L332" s="259"/>
      <c r="M332" s="259"/>
      <c r="N332" s="547"/>
      <c r="O332" s="228"/>
      <c r="P332" s="260"/>
      <c r="Q332" s="260"/>
    </row>
    <row r="333" spans="1:17" s="160" customFormat="1" ht="52.5" customHeight="1">
      <c r="A333" s="263" t="s">
        <v>1872</v>
      </c>
      <c r="B333" s="249" t="s">
        <v>1859</v>
      </c>
      <c r="C333" s="578" t="s">
        <v>1867</v>
      </c>
      <c r="D333" s="170" t="s">
        <v>1553</v>
      </c>
      <c r="E333" s="537"/>
      <c r="F333" s="166"/>
      <c r="G333" s="166"/>
      <c r="H333" s="537"/>
      <c r="I333" s="256"/>
      <c r="J333" s="256"/>
      <c r="K333" s="256"/>
      <c r="L333" s="256"/>
      <c r="M333" s="256"/>
      <c r="N333" s="537" t="e">
        <f>#REF!</f>
        <v>#REF!</v>
      </c>
      <c r="O333" s="166">
        <v>4.28</v>
      </c>
      <c r="P333" s="994">
        <f>COMPOSIÇÕES!B2085</f>
        <v>1110.4404000000002</v>
      </c>
      <c r="Q333" s="999">
        <f t="shared" ref="Q333:Q339" si="14">TRUNC(O333*P333,2)</f>
        <v>4752.68</v>
      </c>
    </row>
    <row r="334" spans="1:17" s="160" customFormat="1" ht="55.5" customHeight="1">
      <c r="A334" s="263" t="s">
        <v>1873</v>
      </c>
      <c r="B334" s="249" t="s">
        <v>1859</v>
      </c>
      <c r="C334" s="578" t="s">
        <v>1868</v>
      </c>
      <c r="D334" s="170" t="s">
        <v>1553</v>
      </c>
      <c r="E334" s="537"/>
      <c r="F334" s="166"/>
      <c r="G334" s="166"/>
      <c r="H334" s="537"/>
      <c r="I334" s="256"/>
      <c r="J334" s="256"/>
      <c r="K334" s="256"/>
      <c r="L334" s="256"/>
      <c r="M334" s="256"/>
      <c r="N334" s="537" t="e">
        <f>#REF!</f>
        <v>#REF!</v>
      </c>
      <c r="O334" s="166">
        <v>4.4400000000000004</v>
      </c>
      <c r="P334" s="994">
        <f>COMPOSIÇÕES!B2085</f>
        <v>1110.4404000000002</v>
      </c>
      <c r="Q334" s="999">
        <f t="shared" si="14"/>
        <v>4930.3500000000004</v>
      </c>
    </row>
    <row r="335" spans="1:17" s="160" customFormat="1" ht="36.75" customHeight="1">
      <c r="A335" s="263" t="s">
        <v>1874</v>
      </c>
      <c r="B335" s="249" t="s">
        <v>1893</v>
      </c>
      <c r="C335" s="577" t="s">
        <v>1892</v>
      </c>
      <c r="D335" s="170" t="s">
        <v>1553</v>
      </c>
      <c r="E335" s="537"/>
      <c r="F335" s="166"/>
      <c r="G335" s="166"/>
      <c r="H335" s="537"/>
      <c r="I335" s="256"/>
      <c r="J335" s="256"/>
      <c r="K335" s="256"/>
      <c r="L335" s="256"/>
      <c r="M335" s="256"/>
      <c r="N335" s="537" t="e">
        <f>#REF!</f>
        <v>#REF!</v>
      </c>
      <c r="O335" s="166">
        <v>8.7200000000000006</v>
      </c>
      <c r="P335" s="994">
        <f>COMPOSIÇÕES!B1962</f>
        <v>22.472249999999995</v>
      </c>
      <c r="Q335" s="999">
        <f t="shared" si="14"/>
        <v>195.95</v>
      </c>
    </row>
    <row r="336" spans="1:17" s="160" customFormat="1" ht="38.25" customHeight="1">
      <c r="A336" s="263" t="s">
        <v>1875</v>
      </c>
      <c r="B336" s="249" t="s">
        <v>1871</v>
      </c>
      <c r="C336" s="577" t="s">
        <v>1870</v>
      </c>
      <c r="D336" s="170" t="s">
        <v>1553</v>
      </c>
      <c r="E336" s="537"/>
      <c r="F336" s="166"/>
      <c r="G336" s="166"/>
      <c r="H336" s="537"/>
      <c r="I336" s="256"/>
      <c r="J336" s="256"/>
      <c r="K336" s="256"/>
      <c r="L336" s="256"/>
      <c r="M336" s="256"/>
      <c r="N336" s="537" t="e">
        <f>#REF!</f>
        <v>#REF!</v>
      </c>
      <c r="O336" s="166">
        <v>8.7200000000000006</v>
      </c>
      <c r="P336" s="994">
        <f>COMPOSIÇÕES!B1982</f>
        <v>466.19024999999999</v>
      </c>
      <c r="Q336" s="999">
        <f t="shared" si="14"/>
        <v>4065.17</v>
      </c>
    </row>
    <row r="337" spans="1:17" s="160" customFormat="1" ht="48.75" customHeight="1">
      <c r="A337" s="263" t="s">
        <v>1880</v>
      </c>
      <c r="B337" s="249" t="s">
        <v>1876</v>
      </c>
      <c r="C337" s="177" t="s">
        <v>1877</v>
      </c>
      <c r="D337" s="170" t="s">
        <v>1452</v>
      </c>
      <c r="E337" s="537"/>
      <c r="F337" s="166"/>
      <c r="G337" s="166"/>
      <c r="H337" s="537"/>
      <c r="I337" s="256"/>
      <c r="J337" s="256"/>
      <c r="K337" s="256"/>
      <c r="L337" s="256"/>
      <c r="M337" s="256"/>
      <c r="N337" s="537" t="e">
        <f>#REF!</f>
        <v>#REF!</v>
      </c>
      <c r="O337" s="166">
        <v>1</v>
      </c>
      <c r="P337" s="994">
        <f>COMPOSIÇÕES!B3274</f>
        <v>32.038688069999999</v>
      </c>
      <c r="Q337" s="999">
        <f t="shared" si="14"/>
        <v>32.03</v>
      </c>
    </row>
    <row r="338" spans="1:17" s="160" customFormat="1" ht="48.75" customHeight="1">
      <c r="A338" s="263" t="s">
        <v>1881</v>
      </c>
      <c r="B338" s="249" t="s">
        <v>166</v>
      </c>
      <c r="C338" s="577" t="s">
        <v>1657</v>
      </c>
      <c r="D338" s="170" t="s">
        <v>1452</v>
      </c>
      <c r="E338" s="537"/>
      <c r="F338" s="166"/>
      <c r="G338" s="166"/>
      <c r="H338" s="537"/>
      <c r="I338" s="256"/>
      <c r="J338" s="256"/>
      <c r="K338" s="256"/>
      <c r="L338" s="256"/>
      <c r="M338" s="256"/>
      <c r="N338" s="537" t="e">
        <f>#REF!</f>
        <v>#REF!</v>
      </c>
      <c r="O338" s="166">
        <v>1</v>
      </c>
      <c r="P338" s="994">
        <f>COMPOSIÇÕES!B2401</f>
        <v>132.35595000000001</v>
      </c>
      <c r="Q338" s="999">
        <f t="shared" si="14"/>
        <v>132.35</v>
      </c>
    </row>
    <row r="339" spans="1:17" s="160" customFormat="1" ht="39" customHeight="1">
      <c r="A339" s="263" t="s">
        <v>1882</v>
      </c>
      <c r="B339" s="249" t="s">
        <v>1878</v>
      </c>
      <c r="C339" s="577" t="s">
        <v>1879</v>
      </c>
      <c r="D339" s="170" t="s">
        <v>1452</v>
      </c>
      <c r="E339" s="537"/>
      <c r="F339" s="166"/>
      <c r="G339" s="166"/>
      <c r="H339" s="537"/>
      <c r="I339" s="256"/>
      <c r="J339" s="256"/>
      <c r="K339" s="256"/>
      <c r="L339" s="256"/>
      <c r="M339" s="256"/>
      <c r="N339" s="537" t="e">
        <f>#REF!</f>
        <v>#REF!</v>
      </c>
      <c r="O339" s="166">
        <v>1</v>
      </c>
      <c r="P339" s="994">
        <f>COMPOSIÇÕES!B3089</f>
        <v>47.994749999999996</v>
      </c>
      <c r="Q339" s="999">
        <f t="shared" si="14"/>
        <v>47.99</v>
      </c>
    </row>
    <row r="340" spans="1:17" s="160" customFormat="1" ht="26.25" customHeight="1">
      <c r="A340" s="263"/>
      <c r="B340" s="704"/>
      <c r="C340" s="703" t="s">
        <v>2586</v>
      </c>
      <c r="D340" s="227"/>
      <c r="E340" s="547"/>
      <c r="F340" s="228"/>
      <c r="G340" s="228"/>
      <c r="H340" s="547"/>
      <c r="I340" s="259"/>
      <c r="J340" s="259"/>
      <c r="K340" s="259"/>
      <c r="L340" s="259"/>
      <c r="M340" s="259"/>
      <c r="N340" s="547"/>
      <c r="O340" s="228"/>
      <c r="P340" s="229"/>
      <c r="Q340" s="260">
        <f>SUM(Q333:Q339)</f>
        <v>14156.520000000002</v>
      </c>
    </row>
    <row r="341" spans="1:17" s="160" customFormat="1" ht="39" customHeight="1">
      <c r="A341" s="209" t="s">
        <v>1861</v>
      </c>
      <c r="B341" s="225"/>
      <c r="C341" s="206" t="s">
        <v>1883</v>
      </c>
      <c r="D341" s="225"/>
      <c r="E341" s="553"/>
      <c r="F341" s="259"/>
      <c r="G341" s="259"/>
      <c r="H341" s="259"/>
      <c r="I341" s="259"/>
      <c r="J341" s="259"/>
      <c r="K341" s="259"/>
      <c r="L341" s="259"/>
      <c r="M341" s="259"/>
      <c r="N341" s="547"/>
      <c r="O341" s="228"/>
      <c r="P341" s="260"/>
      <c r="Q341" s="260"/>
    </row>
    <row r="342" spans="1:17" s="160" customFormat="1" ht="54.75" customHeight="1">
      <c r="A342" s="263" t="s">
        <v>1884</v>
      </c>
      <c r="B342" s="580" t="s">
        <v>1859</v>
      </c>
      <c r="C342" s="177" t="s">
        <v>1867</v>
      </c>
      <c r="D342" s="170" t="s">
        <v>1553</v>
      </c>
      <c r="E342" s="537"/>
      <c r="F342" s="166"/>
      <c r="G342" s="166"/>
      <c r="H342" s="537"/>
      <c r="I342" s="256"/>
      <c r="J342" s="256"/>
      <c r="K342" s="256"/>
      <c r="L342" s="256"/>
      <c r="M342" s="256"/>
      <c r="N342" s="537" t="e">
        <f>#REF!</f>
        <v>#REF!</v>
      </c>
      <c r="O342" s="166">
        <v>11.984</v>
      </c>
      <c r="P342" s="994">
        <f>COMPOSIÇÕES!B2085</f>
        <v>1110.4404000000002</v>
      </c>
      <c r="Q342" s="999">
        <f>TRUNC(O342*P342,2)</f>
        <v>13307.51</v>
      </c>
    </row>
    <row r="343" spans="1:17" s="160" customFormat="1" ht="39" customHeight="1">
      <c r="A343" s="263" t="s">
        <v>1885</v>
      </c>
      <c r="B343" s="249" t="s">
        <v>1893</v>
      </c>
      <c r="C343" s="577" t="s">
        <v>1892</v>
      </c>
      <c r="D343" s="170" t="s">
        <v>1553</v>
      </c>
      <c r="E343" s="537"/>
      <c r="F343" s="166"/>
      <c r="G343" s="166"/>
      <c r="H343" s="537"/>
      <c r="I343" s="256"/>
      <c r="J343" s="256"/>
      <c r="K343" s="256"/>
      <c r="L343" s="256"/>
      <c r="M343" s="256"/>
      <c r="N343" s="537" t="e">
        <f>#REF!</f>
        <v>#REF!</v>
      </c>
      <c r="O343" s="166">
        <v>11.984</v>
      </c>
      <c r="P343" s="994">
        <f>COMPOSIÇÕES!B1962</f>
        <v>22.472249999999995</v>
      </c>
      <c r="Q343" s="999">
        <f>TRUNC(O343*P343,2)</f>
        <v>269.3</v>
      </c>
    </row>
    <row r="344" spans="1:17" s="160" customFormat="1" ht="39" customHeight="1">
      <c r="A344" s="263" t="s">
        <v>1886</v>
      </c>
      <c r="B344" s="249" t="s">
        <v>1871</v>
      </c>
      <c r="C344" s="577" t="s">
        <v>1870</v>
      </c>
      <c r="D344" s="170" t="s">
        <v>1553</v>
      </c>
      <c r="E344" s="537"/>
      <c r="F344" s="166"/>
      <c r="G344" s="166"/>
      <c r="H344" s="537"/>
      <c r="I344" s="256"/>
      <c r="J344" s="256"/>
      <c r="K344" s="256"/>
      <c r="L344" s="256"/>
      <c r="M344" s="256"/>
      <c r="N344" s="537" t="e">
        <f>#REF!</f>
        <v>#REF!</v>
      </c>
      <c r="O344" s="166">
        <v>11.984</v>
      </c>
      <c r="P344" s="994">
        <f>COMPOSIÇÕES!B1982</f>
        <v>466.19024999999999</v>
      </c>
      <c r="Q344" s="999">
        <f>TRUNC(O344*P344,2)</f>
        <v>5586.82</v>
      </c>
    </row>
    <row r="345" spans="1:17" s="160" customFormat="1" ht="53.25" customHeight="1">
      <c r="A345" s="263" t="s">
        <v>2547</v>
      </c>
      <c r="B345" s="170" t="s">
        <v>1897</v>
      </c>
      <c r="C345" s="177" t="s">
        <v>1896</v>
      </c>
      <c r="D345" s="170" t="s">
        <v>391</v>
      </c>
      <c r="E345" s="537"/>
      <c r="F345" s="166"/>
      <c r="G345" s="166"/>
      <c r="H345" s="537"/>
      <c r="I345" s="256"/>
      <c r="J345" s="256"/>
      <c r="K345" s="256"/>
      <c r="L345" s="256"/>
      <c r="M345" s="256"/>
      <c r="N345" s="537" t="e">
        <f>#REF!</f>
        <v>#REF!</v>
      </c>
      <c r="O345" s="166">
        <v>26.5</v>
      </c>
      <c r="P345" s="994">
        <f>COMPOSIÇÕES!B3315</f>
        <v>28.9587</v>
      </c>
      <c r="Q345" s="999">
        <f>TRUNC(O345*P345,2)</f>
        <v>767.4</v>
      </c>
    </row>
    <row r="346" spans="1:17" s="160" customFormat="1" ht="24.75" customHeight="1">
      <c r="A346" s="263"/>
      <c r="B346" s="227"/>
      <c r="C346" s="703" t="s">
        <v>2585</v>
      </c>
      <c r="D346" s="227"/>
      <c r="E346" s="547"/>
      <c r="F346" s="228"/>
      <c r="G346" s="228"/>
      <c r="H346" s="547"/>
      <c r="I346" s="259"/>
      <c r="J346" s="259"/>
      <c r="K346" s="259"/>
      <c r="L346" s="259"/>
      <c r="M346" s="259"/>
      <c r="N346" s="547"/>
      <c r="O346" s="228"/>
      <c r="P346" s="229"/>
      <c r="Q346" s="260">
        <f>SUM(Q342:Q345)</f>
        <v>19931.03</v>
      </c>
    </row>
    <row r="347" spans="1:17" s="160" customFormat="1" ht="29.25" customHeight="1">
      <c r="A347" s="209" t="s">
        <v>1888</v>
      </c>
      <c r="B347" s="225"/>
      <c r="C347" s="206" t="s">
        <v>2574</v>
      </c>
      <c r="D347" s="225"/>
      <c r="E347" s="553"/>
      <c r="F347" s="259"/>
      <c r="G347" s="259"/>
      <c r="H347" s="259"/>
      <c r="I347" s="259"/>
      <c r="J347" s="259"/>
      <c r="K347" s="259"/>
      <c r="L347" s="259"/>
      <c r="M347" s="259"/>
      <c r="N347" s="547"/>
      <c r="O347" s="228"/>
      <c r="P347" s="260"/>
      <c r="Q347" s="260"/>
    </row>
    <row r="348" spans="1:17" s="160" customFormat="1" ht="26.25" customHeight="1">
      <c r="A348" s="263" t="s">
        <v>2516</v>
      </c>
      <c r="B348" s="249" t="s">
        <v>447</v>
      </c>
      <c r="C348" s="177" t="s">
        <v>2576</v>
      </c>
      <c r="D348" s="170" t="s">
        <v>1316</v>
      </c>
      <c r="E348" s="537"/>
      <c r="F348" s="166"/>
      <c r="G348" s="166"/>
      <c r="H348" s="537"/>
      <c r="I348" s="256"/>
      <c r="J348" s="256"/>
      <c r="K348" s="256"/>
      <c r="L348" s="256"/>
      <c r="M348" s="256"/>
      <c r="N348" s="537">
        <v>1.05</v>
      </c>
      <c r="O348" s="166">
        <v>1.05</v>
      </c>
      <c r="P348" s="994">
        <f>COMPOSIÇÕES!B296</f>
        <v>78.347849999999994</v>
      </c>
      <c r="Q348" s="999">
        <f t="shared" ref="Q348:Q361" si="15">TRUNC(O348*P348,2)</f>
        <v>82.26</v>
      </c>
    </row>
    <row r="349" spans="1:17" s="160" customFormat="1" ht="32.25" customHeight="1">
      <c r="A349" s="263" t="s">
        <v>2517</v>
      </c>
      <c r="B349" s="170" t="s">
        <v>1124</v>
      </c>
      <c r="C349" s="177" t="s">
        <v>1541</v>
      </c>
      <c r="D349" s="170" t="s">
        <v>1316</v>
      </c>
      <c r="E349" s="537"/>
      <c r="F349" s="166"/>
      <c r="G349" s="166"/>
      <c r="H349" s="537"/>
      <c r="I349" s="256"/>
      <c r="J349" s="256"/>
      <c r="K349" s="256"/>
      <c r="L349" s="256"/>
      <c r="M349" s="256"/>
      <c r="N349" s="537">
        <v>1.36</v>
      </c>
      <c r="O349" s="166">
        <v>1.36</v>
      </c>
      <c r="P349" s="994">
        <f>COMPOSIÇÕES!B428</f>
        <v>23.020050000000001</v>
      </c>
      <c r="Q349" s="999">
        <f t="shared" si="15"/>
        <v>31.3</v>
      </c>
    </row>
    <row r="350" spans="1:17" s="160" customFormat="1" ht="33.75" customHeight="1">
      <c r="A350" s="263" t="s">
        <v>2520</v>
      </c>
      <c r="B350" s="170" t="s">
        <v>1128</v>
      </c>
      <c r="C350" s="177" t="s">
        <v>1890</v>
      </c>
      <c r="D350" s="170" t="s">
        <v>1316</v>
      </c>
      <c r="E350" s="537"/>
      <c r="F350" s="166"/>
      <c r="G350" s="166"/>
      <c r="H350" s="537"/>
      <c r="I350" s="256"/>
      <c r="J350" s="256"/>
      <c r="K350" s="256"/>
      <c r="L350" s="256"/>
      <c r="M350" s="256"/>
      <c r="N350" s="537">
        <v>0.31</v>
      </c>
      <c r="O350" s="166">
        <v>0.31</v>
      </c>
      <c r="P350" s="994">
        <f>COMPOSIÇÕES!B491</f>
        <v>376.66230000000002</v>
      </c>
      <c r="Q350" s="999">
        <f t="shared" si="15"/>
        <v>116.76</v>
      </c>
    </row>
    <row r="351" spans="1:17" s="160" customFormat="1" ht="41.25" customHeight="1">
      <c r="A351" s="263" t="s">
        <v>2521</v>
      </c>
      <c r="B351" s="170" t="s">
        <v>1129</v>
      </c>
      <c r="C351" s="177" t="s">
        <v>1889</v>
      </c>
      <c r="D351" s="170" t="s">
        <v>1319</v>
      </c>
      <c r="E351" s="537"/>
      <c r="F351" s="166"/>
      <c r="G351" s="166"/>
      <c r="H351" s="537"/>
      <c r="I351" s="256"/>
      <c r="J351" s="256"/>
      <c r="K351" s="256"/>
      <c r="L351" s="256"/>
      <c r="M351" s="256"/>
      <c r="N351" s="537">
        <v>142.16</v>
      </c>
      <c r="O351" s="166">
        <v>142.16</v>
      </c>
      <c r="P351" s="994">
        <f>COMPOSIÇÕES!B615</f>
        <v>11.566049999999999</v>
      </c>
      <c r="Q351" s="999">
        <f t="shared" si="15"/>
        <v>1644.22</v>
      </c>
    </row>
    <row r="352" spans="1:17" s="160" customFormat="1" ht="39.75" customHeight="1">
      <c r="A352" s="263" t="s">
        <v>2522</v>
      </c>
      <c r="B352" s="170" t="s">
        <v>1130</v>
      </c>
      <c r="C352" s="177" t="s">
        <v>1575</v>
      </c>
      <c r="D352" s="170" t="s">
        <v>1316</v>
      </c>
      <c r="E352" s="537"/>
      <c r="F352" s="166"/>
      <c r="G352" s="166"/>
      <c r="H352" s="537"/>
      <c r="I352" s="256"/>
      <c r="J352" s="256"/>
      <c r="K352" s="256"/>
      <c r="L352" s="256"/>
      <c r="M352" s="256"/>
      <c r="N352" s="537">
        <v>1.78</v>
      </c>
      <c r="O352" s="166">
        <v>1.78</v>
      </c>
      <c r="P352" s="994">
        <f>COMPOSIÇÕES!B680</f>
        <v>411.98294999999996</v>
      </c>
      <c r="Q352" s="999">
        <f t="shared" si="15"/>
        <v>733.32</v>
      </c>
    </row>
    <row r="353" spans="1:24" s="160" customFormat="1" ht="34.5" customHeight="1">
      <c r="A353" s="263" t="s">
        <v>2523</v>
      </c>
      <c r="B353" s="249" t="s">
        <v>1546</v>
      </c>
      <c r="C353" s="177" t="s">
        <v>1891</v>
      </c>
      <c r="D353" s="170" t="s">
        <v>1316</v>
      </c>
      <c r="E353" s="537"/>
      <c r="F353" s="166"/>
      <c r="G353" s="166"/>
      <c r="H353" s="537"/>
      <c r="I353" s="256"/>
      <c r="J353" s="256"/>
      <c r="K353" s="256"/>
      <c r="L353" s="256"/>
      <c r="M353" s="256"/>
      <c r="N353" s="537">
        <v>1.78</v>
      </c>
      <c r="O353" s="166">
        <v>1.78</v>
      </c>
      <c r="P353" s="994">
        <f>COMPOSIÇÕES!B698</f>
        <v>130.27680000000001</v>
      </c>
      <c r="Q353" s="999">
        <f t="shared" si="15"/>
        <v>231.89</v>
      </c>
    </row>
    <row r="354" spans="1:24" s="160" customFormat="1" ht="60" customHeight="1">
      <c r="A354" s="263" t="s">
        <v>2524</v>
      </c>
      <c r="B354" s="170" t="s">
        <v>1865</v>
      </c>
      <c r="C354" s="1013" t="s">
        <v>1866</v>
      </c>
      <c r="D354" s="170" t="s">
        <v>1553</v>
      </c>
      <c r="E354" s="537"/>
      <c r="F354" s="166"/>
      <c r="G354" s="166"/>
      <c r="H354" s="537"/>
      <c r="I354" s="256"/>
      <c r="J354" s="256"/>
      <c r="K354" s="256"/>
      <c r="L354" s="256"/>
      <c r="M354" s="256"/>
      <c r="N354" s="537" t="e">
        <f>#REF!</f>
        <v>#REF!</v>
      </c>
      <c r="O354" s="166">
        <v>2</v>
      </c>
      <c r="P354" s="994">
        <f>COMPOSIÇÕES!G1530*1.245</f>
        <v>32.158349999999999</v>
      </c>
      <c r="Q354" s="999">
        <f t="shared" si="15"/>
        <v>64.31</v>
      </c>
    </row>
    <row r="355" spans="1:24" s="160" customFormat="1" ht="70.5" customHeight="1">
      <c r="A355" s="263" t="s">
        <v>2525</v>
      </c>
      <c r="B355" s="249" t="s">
        <v>2255</v>
      </c>
      <c r="C355" s="255" t="s">
        <v>2256</v>
      </c>
      <c r="D355" s="170" t="s">
        <v>1487</v>
      </c>
      <c r="E355" s="537"/>
      <c r="F355" s="166"/>
      <c r="G355" s="166"/>
      <c r="H355" s="537"/>
      <c r="I355" s="256"/>
      <c r="J355" s="256"/>
      <c r="K355" s="256"/>
      <c r="L355" s="256"/>
      <c r="M355" s="256"/>
      <c r="N355" s="537">
        <v>52.5</v>
      </c>
      <c r="O355" s="166">
        <v>52.5</v>
      </c>
      <c r="P355" s="994">
        <f>COMPOSIÇÕES!B2106</f>
        <v>138.66810000000001</v>
      </c>
      <c r="Q355" s="999">
        <f t="shared" si="15"/>
        <v>7280.07</v>
      </c>
    </row>
    <row r="356" spans="1:24" s="160" customFormat="1" ht="55.5" customHeight="1">
      <c r="A356" s="263" t="s">
        <v>2518</v>
      </c>
      <c r="B356" s="249" t="s">
        <v>1859</v>
      </c>
      <c r="C356" s="177" t="s">
        <v>2575</v>
      </c>
      <c r="D356" s="170" t="s">
        <v>1487</v>
      </c>
      <c r="E356" s="537"/>
      <c r="F356" s="166"/>
      <c r="G356" s="166"/>
      <c r="H356" s="537"/>
      <c r="I356" s="256"/>
      <c r="J356" s="256"/>
      <c r="K356" s="256"/>
      <c r="L356" s="256"/>
      <c r="M356" s="256"/>
      <c r="N356" s="537" t="e">
        <f>#REF!</f>
        <v>#REF!</v>
      </c>
      <c r="O356" s="166">
        <v>21</v>
      </c>
      <c r="P356" s="994">
        <f>COMPOSIÇÕES!B2085</f>
        <v>1110.4404000000002</v>
      </c>
      <c r="Q356" s="999">
        <f t="shared" si="15"/>
        <v>23319.24</v>
      </c>
      <c r="X356" s="178"/>
    </row>
    <row r="357" spans="1:24" s="160" customFormat="1" ht="53.25" customHeight="1">
      <c r="A357" s="263" t="s">
        <v>2526</v>
      </c>
      <c r="B357" s="249" t="s">
        <v>2393</v>
      </c>
      <c r="C357" s="177" t="s">
        <v>1887</v>
      </c>
      <c r="D357" s="170" t="s">
        <v>1452</v>
      </c>
      <c r="E357" s="537"/>
      <c r="F357" s="166"/>
      <c r="G357" s="166"/>
      <c r="H357" s="537"/>
      <c r="I357" s="256"/>
      <c r="J357" s="256"/>
      <c r="K357" s="256"/>
      <c r="L357" s="256"/>
      <c r="M357" s="256"/>
      <c r="N357" s="537">
        <v>1</v>
      </c>
      <c r="O357" s="166">
        <v>1</v>
      </c>
      <c r="P357" s="994">
        <f>10654.51*1.245</f>
        <v>13264.864950000001</v>
      </c>
      <c r="Q357" s="999">
        <f t="shared" si="15"/>
        <v>13264.86</v>
      </c>
    </row>
    <row r="358" spans="1:24" s="160" customFormat="1" ht="29.25" customHeight="1">
      <c r="A358" s="263" t="s">
        <v>2527</v>
      </c>
      <c r="B358" s="170" t="s">
        <v>3063</v>
      </c>
      <c r="C358" s="1078" t="s">
        <v>3286</v>
      </c>
      <c r="D358" s="170" t="s">
        <v>3290</v>
      </c>
      <c r="E358" s="537"/>
      <c r="F358" s="166"/>
      <c r="G358" s="166"/>
      <c r="H358" s="537"/>
      <c r="I358" s="256"/>
      <c r="J358" s="256"/>
      <c r="K358" s="256"/>
      <c r="L358" s="256"/>
      <c r="M358" s="256"/>
      <c r="N358" s="537"/>
      <c r="O358" s="166">
        <v>1</v>
      </c>
      <c r="P358" s="167">
        <f>COMPOSIÇÕES!B1924</f>
        <v>2210.6220000000003</v>
      </c>
      <c r="Q358" s="999">
        <f t="shared" si="15"/>
        <v>2210.62</v>
      </c>
    </row>
    <row r="359" spans="1:24" s="160" customFormat="1" ht="33" customHeight="1">
      <c r="A359" s="263" t="s">
        <v>3138</v>
      </c>
      <c r="B359" s="249" t="s">
        <v>1893</v>
      </c>
      <c r="C359" s="577" t="s">
        <v>1892</v>
      </c>
      <c r="D359" s="170" t="s">
        <v>1553</v>
      </c>
      <c r="E359" s="537"/>
      <c r="F359" s="166"/>
      <c r="G359" s="166"/>
      <c r="H359" s="537"/>
      <c r="I359" s="256"/>
      <c r="J359" s="256"/>
      <c r="K359" s="256"/>
      <c r="L359" s="256"/>
      <c r="M359" s="256"/>
      <c r="N359" s="576">
        <v>78.75</v>
      </c>
      <c r="O359" s="166">
        <v>78.75</v>
      </c>
      <c r="P359" s="1014">
        <f>COMPOSIÇÕES!B1962</f>
        <v>22.472249999999995</v>
      </c>
      <c r="Q359" s="999">
        <f t="shared" si="15"/>
        <v>1769.68</v>
      </c>
    </row>
    <row r="360" spans="1:24" s="160" customFormat="1" ht="36.75" customHeight="1">
      <c r="A360" s="263" t="s">
        <v>3139</v>
      </c>
      <c r="B360" s="249" t="s">
        <v>1871</v>
      </c>
      <c r="C360" s="577" t="s">
        <v>1870</v>
      </c>
      <c r="D360" s="170" t="s">
        <v>1553</v>
      </c>
      <c r="E360" s="537"/>
      <c r="F360" s="166"/>
      <c r="G360" s="166"/>
      <c r="H360" s="537"/>
      <c r="I360" s="256"/>
      <c r="J360" s="256"/>
      <c r="K360" s="256"/>
      <c r="L360" s="256"/>
      <c r="M360" s="256"/>
      <c r="N360" s="576">
        <v>78.75</v>
      </c>
      <c r="O360" s="166">
        <v>78.75</v>
      </c>
      <c r="P360" s="994">
        <f>COMPOSIÇÕES!B1982</f>
        <v>466.19024999999999</v>
      </c>
      <c r="Q360" s="999">
        <f t="shared" si="15"/>
        <v>36712.480000000003</v>
      </c>
    </row>
    <row r="361" spans="1:24" s="160" customFormat="1" ht="36.75" customHeight="1">
      <c r="A361" s="263" t="s">
        <v>3370</v>
      </c>
      <c r="B361" s="170" t="s">
        <v>3065</v>
      </c>
      <c r="C361" s="577" t="s">
        <v>3338</v>
      </c>
      <c r="D361" s="227" t="s">
        <v>3290</v>
      </c>
      <c r="E361" s="547"/>
      <c r="F361" s="228"/>
      <c r="G361" s="228"/>
      <c r="H361" s="547"/>
      <c r="I361" s="259"/>
      <c r="J361" s="259"/>
      <c r="K361" s="259"/>
      <c r="L361" s="259"/>
      <c r="M361" s="259"/>
      <c r="N361" s="702"/>
      <c r="O361" s="228">
        <v>1</v>
      </c>
      <c r="P361" s="1068">
        <f>COMPOSIÇÕES!B1944</f>
        <v>218003.484</v>
      </c>
      <c r="Q361" s="999">
        <f t="shared" si="15"/>
        <v>218003.48</v>
      </c>
    </row>
    <row r="362" spans="1:24" s="160" customFormat="1" ht="23.25" customHeight="1">
      <c r="A362" s="263"/>
      <c r="B362" s="580"/>
      <c r="C362" s="703" t="s">
        <v>2584</v>
      </c>
      <c r="D362" s="227"/>
      <c r="E362" s="547"/>
      <c r="F362" s="228"/>
      <c r="G362" s="228"/>
      <c r="H362" s="547"/>
      <c r="I362" s="259"/>
      <c r="J362" s="259"/>
      <c r="K362" s="259"/>
      <c r="L362" s="259"/>
      <c r="M362" s="259"/>
      <c r="N362" s="702"/>
      <c r="O362" s="228"/>
      <c r="P362" s="229"/>
      <c r="Q362" s="260">
        <f>SUM(Q348:Q361)</f>
        <v>305464.49</v>
      </c>
    </row>
    <row r="363" spans="1:24" s="160" customFormat="1" ht="29.25" customHeight="1">
      <c r="A363" s="209" t="s">
        <v>1894</v>
      </c>
      <c r="B363" s="579"/>
      <c r="C363" s="206" t="s">
        <v>1825</v>
      </c>
      <c r="D363" s="225"/>
      <c r="E363" s="553"/>
      <c r="F363" s="259"/>
      <c r="G363" s="259"/>
      <c r="H363" s="259"/>
      <c r="I363" s="259"/>
      <c r="J363" s="259"/>
      <c r="K363" s="259"/>
      <c r="L363" s="259"/>
      <c r="M363" s="259"/>
      <c r="N363" s="259"/>
      <c r="O363" s="259"/>
      <c r="P363" s="260"/>
      <c r="Q363" s="260"/>
    </row>
    <row r="364" spans="1:24" s="160" customFormat="1" ht="29.25" customHeight="1">
      <c r="A364" s="276" t="s">
        <v>1895</v>
      </c>
      <c r="B364" s="611" t="s">
        <v>2266</v>
      </c>
      <c r="C364" s="277" t="s">
        <v>1190</v>
      </c>
      <c r="D364" s="181" t="s">
        <v>1553</v>
      </c>
      <c r="E364" s="560"/>
      <c r="F364" s="278"/>
      <c r="G364" s="278"/>
      <c r="H364" s="278"/>
      <c r="I364" s="278"/>
      <c r="J364" s="278"/>
      <c r="K364" s="278"/>
      <c r="L364" s="278"/>
      <c r="M364" s="278"/>
      <c r="N364" s="185">
        <v>6315</v>
      </c>
      <c r="O364" s="182">
        <v>6080</v>
      </c>
      <c r="P364" s="1007">
        <f>COMPOSIÇÕES!B2122</f>
        <v>2.9630999999999998</v>
      </c>
      <c r="Q364" s="999">
        <f>TRUNC(O364*P364,2)</f>
        <v>18015.64</v>
      </c>
    </row>
    <row r="365" spans="1:24" s="160" customFormat="1" ht="29.25" customHeight="1">
      <c r="A365" s="263"/>
      <c r="B365" s="227"/>
      <c r="C365" s="703" t="s">
        <v>2618</v>
      </c>
      <c r="D365" s="227"/>
      <c r="E365" s="553"/>
      <c r="F365" s="259"/>
      <c r="G365" s="259"/>
      <c r="H365" s="259"/>
      <c r="I365" s="259"/>
      <c r="J365" s="259"/>
      <c r="K365" s="259"/>
      <c r="L365" s="259"/>
      <c r="M365" s="259"/>
      <c r="N365" s="228"/>
      <c r="O365" s="228"/>
      <c r="P365" s="229"/>
      <c r="Q365" s="260">
        <f>Q364</f>
        <v>18015.64</v>
      </c>
    </row>
    <row r="366" spans="1:24" s="160" customFormat="1" ht="29.25" customHeight="1">
      <c r="A366" s="210"/>
      <c r="B366" s="235"/>
      <c r="C366" s="243" t="s">
        <v>1191</v>
      </c>
      <c r="D366" s="235"/>
      <c r="E366" s="548"/>
      <c r="F366" s="236"/>
      <c r="G366" s="236"/>
      <c r="H366" s="236"/>
      <c r="I366" s="236"/>
      <c r="J366" s="236"/>
      <c r="K366" s="236"/>
      <c r="L366" s="236"/>
      <c r="M366" s="236"/>
      <c r="N366" s="236"/>
      <c r="O366" s="236"/>
      <c r="P366" s="237"/>
      <c r="Q366" s="237">
        <f>Q362+Q346+Q340+Q331+Q365</f>
        <v>454270.93000000005</v>
      </c>
    </row>
    <row r="367" spans="1:24" s="160" customFormat="1" ht="16.5" customHeight="1">
      <c r="A367" s="279"/>
      <c r="B367" s="280"/>
      <c r="C367" s="281"/>
      <c r="D367" s="280"/>
      <c r="E367" s="561"/>
      <c r="F367" s="282"/>
      <c r="G367" s="282"/>
      <c r="H367" s="282"/>
      <c r="I367" s="282"/>
      <c r="J367" s="282"/>
      <c r="K367" s="282"/>
      <c r="L367" s="282"/>
      <c r="M367" s="282"/>
      <c r="N367" s="282"/>
      <c r="O367" s="282"/>
      <c r="P367" s="283"/>
      <c r="Q367" s="986"/>
    </row>
    <row r="368" spans="1:24" s="160" customFormat="1" ht="34.5" customHeight="1">
      <c r="A368" s="654"/>
      <c r="B368" s="655"/>
      <c r="C368" s="656" t="s">
        <v>2328</v>
      </c>
      <c r="D368" s="655"/>
      <c r="E368" s="657"/>
      <c r="F368" s="658"/>
      <c r="G368" s="658"/>
      <c r="H368" s="658"/>
      <c r="I368" s="658"/>
      <c r="J368" s="658"/>
      <c r="K368" s="658"/>
      <c r="L368" s="658"/>
      <c r="M368" s="658"/>
      <c r="N368" s="658"/>
      <c r="O368" s="658"/>
      <c r="P368" s="659"/>
      <c r="Q368" s="987">
        <f>Q34+Q64+Q69+Q82+Q93+Q104+Q114+Q315+Q366</f>
        <v>3079326.41</v>
      </c>
    </row>
    <row r="369" spans="1:17" s="168" customFormat="1" ht="42" customHeight="1">
      <c r="A369" s="1093"/>
      <c r="B369" s="1094"/>
      <c r="C369" s="1094"/>
      <c r="D369" s="1094"/>
      <c r="E369" s="1094"/>
      <c r="F369" s="1094"/>
      <c r="G369" s="1094"/>
      <c r="H369" s="1094"/>
      <c r="I369" s="1094"/>
      <c r="J369" s="1094"/>
      <c r="K369" s="1094"/>
      <c r="L369" s="1094"/>
      <c r="M369" s="1094"/>
      <c r="N369" s="1094"/>
      <c r="O369" s="1094"/>
      <c r="P369" s="1094"/>
      <c r="Q369" s="1095"/>
    </row>
    <row r="370" spans="1:17" ht="63" customHeight="1">
      <c r="A370" s="766"/>
      <c r="B370" s="768"/>
      <c r="C370" s="774">
        <f ca="1">TODAY()</f>
        <v>44095</v>
      </c>
      <c r="D370" s="767"/>
      <c r="E370" s="767"/>
      <c r="F370" s="767"/>
      <c r="G370" s="767"/>
      <c r="H370" s="767"/>
      <c r="I370" s="767"/>
      <c r="J370" s="767"/>
      <c r="K370" s="767"/>
      <c r="L370" s="767"/>
      <c r="M370" s="767"/>
      <c r="N370" s="767"/>
      <c r="O370" s="767"/>
      <c r="P370" s="771" t="s">
        <v>3147</v>
      </c>
      <c r="Q370" s="767"/>
    </row>
    <row r="371" spans="1:17" ht="17.25" customHeight="1" thickBot="1">
      <c r="A371" s="222"/>
      <c r="B371" s="194"/>
      <c r="C371" s="195"/>
      <c r="D371" s="196"/>
      <c r="E371" s="562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</row>
    <row r="372" spans="1:17" ht="63" customHeight="1">
      <c r="A372" s="223"/>
      <c r="B372" s="198"/>
      <c r="C372" s="199"/>
      <c r="D372" s="198"/>
      <c r="E372" s="563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</row>
    <row r="375" spans="1:17" ht="20.100000000000001" customHeight="1"/>
    <row r="376" spans="1:17" ht="20.100000000000001" customHeight="1"/>
    <row r="377" spans="1:17" ht="20.100000000000001" customHeight="1"/>
    <row r="378" spans="1:17" ht="20.100000000000001" customHeight="1"/>
    <row r="379" spans="1:17" ht="20.100000000000001" customHeight="1"/>
    <row r="380" spans="1:17" ht="20.100000000000001" customHeight="1"/>
    <row r="381" spans="1:17" ht="20.100000000000001" customHeight="1"/>
    <row r="382" spans="1:17" ht="20.100000000000001" customHeight="1"/>
    <row r="383" spans="1:17" ht="20.100000000000001" customHeight="1"/>
    <row r="384" spans="1:17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</sheetData>
  <mergeCells count="12">
    <mergeCell ref="E1:Q2"/>
    <mergeCell ref="A369:Q369"/>
    <mergeCell ref="A1:B2"/>
    <mergeCell ref="A4:A5"/>
    <mergeCell ref="B4:B5"/>
    <mergeCell ref="C4:C5"/>
    <mergeCell ref="D4:D5"/>
    <mergeCell ref="O4:O5"/>
    <mergeCell ref="P4:P5"/>
    <mergeCell ref="Q4:Q5"/>
    <mergeCell ref="E4:N4"/>
    <mergeCell ref="C95:O95"/>
  </mergeCells>
  <phoneticPr fontId="41" type="noConversion"/>
  <printOptions horizontalCentered="1"/>
  <pageMargins left="0.78740157480314965" right="0.78740157480314965" top="0.78740157480314965" bottom="0.78740157480314965" header="0" footer="0"/>
  <pageSetup paperSize="9" scale="46" fitToHeight="0" orientation="portrait" horizontalDpi="300" verticalDpi="300" r:id="rId1"/>
  <headerFooter>
    <oddFooter>Página &amp;P de &amp;N</oddFooter>
  </headerFooter>
  <rowBreaks count="1" manualBreakCount="1">
    <brk id="104" max="17" man="1"/>
  </rowBreaks>
  <ignoredErrors>
    <ignoredError sqref="H3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4282"/>
  <sheetViews>
    <sheetView showGridLines="0" view="pageBreakPreview" topLeftCell="A1922" zoomScale="106" zoomScaleSheetLayoutView="106" workbookViewId="0">
      <selection activeCell="F1937" sqref="F1937"/>
    </sheetView>
  </sheetViews>
  <sheetFormatPr defaultRowHeight="10.199999999999999"/>
  <cols>
    <col min="1" max="1" width="11.88671875" style="122" customWidth="1"/>
    <col min="2" max="2" width="45.109375" style="128" customWidth="1"/>
    <col min="3" max="3" width="6.88671875" style="124" customWidth="1"/>
    <col min="4" max="4" width="7.33203125" style="122" customWidth="1"/>
    <col min="5" max="5" width="9.5546875" style="128" customWidth="1"/>
    <col min="6" max="6" width="26.109375" style="128" customWidth="1"/>
    <col min="7" max="7" width="9.44140625" style="128" customWidth="1"/>
    <col min="8" max="8" width="7.6640625" style="122" customWidth="1"/>
    <col min="9" max="11" width="9.109375" style="122"/>
    <col min="12" max="12" width="10.44140625" style="122" customWidth="1"/>
    <col min="13" max="13" width="11.109375" style="122" customWidth="1"/>
    <col min="14" max="249" width="9.109375" style="122"/>
    <col min="250" max="250" width="5.88671875" style="122" customWidth="1"/>
    <col min="251" max="251" width="50.44140625" style="122" customWidth="1"/>
    <col min="252" max="255" width="7.6640625" style="122" customWidth="1"/>
    <col min="256" max="256" width="10.109375" style="122" customWidth="1"/>
    <col min="257" max="260" width="7.6640625" style="122" customWidth="1"/>
    <col min="261" max="261" width="31.6640625" style="122" bestFit="1" customWidth="1"/>
    <col min="262" max="505" width="9.109375" style="122"/>
    <col min="506" max="506" width="5.88671875" style="122" customWidth="1"/>
    <col min="507" max="507" width="50.44140625" style="122" customWidth="1"/>
    <col min="508" max="511" width="7.6640625" style="122" customWidth="1"/>
    <col min="512" max="512" width="10.109375" style="122" customWidth="1"/>
    <col min="513" max="516" width="7.6640625" style="122" customWidth="1"/>
    <col min="517" max="517" width="31.6640625" style="122" bestFit="1" customWidth="1"/>
    <col min="518" max="761" width="9.109375" style="122"/>
    <col min="762" max="762" width="5.88671875" style="122" customWidth="1"/>
    <col min="763" max="763" width="50.44140625" style="122" customWidth="1"/>
    <col min="764" max="767" width="7.6640625" style="122" customWidth="1"/>
    <col min="768" max="768" width="10.109375" style="122" customWidth="1"/>
    <col min="769" max="772" width="7.6640625" style="122" customWidth="1"/>
    <col min="773" max="773" width="31.6640625" style="122" bestFit="1" customWidth="1"/>
    <col min="774" max="1017" width="9.109375" style="122"/>
    <col min="1018" max="1018" width="5.88671875" style="122" customWidth="1"/>
    <col min="1019" max="1019" width="50.44140625" style="122" customWidth="1"/>
    <col min="1020" max="1023" width="7.6640625" style="122" customWidth="1"/>
    <col min="1024" max="1024" width="10.109375" style="122" customWidth="1"/>
    <col min="1025" max="1028" width="7.6640625" style="122" customWidth="1"/>
    <col min="1029" max="1029" width="31.6640625" style="122" bestFit="1" customWidth="1"/>
    <col min="1030" max="1273" width="9.109375" style="122"/>
    <col min="1274" max="1274" width="5.88671875" style="122" customWidth="1"/>
    <col min="1275" max="1275" width="50.44140625" style="122" customWidth="1"/>
    <col min="1276" max="1279" width="7.6640625" style="122" customWidth="1"/>
    <col min="1280" max="1280" width="10.109375" style="122" customWidth="1"/>
    <col min="1281" max="1284" width="7.6640625" style="122" customWidth="1"/>
    <col min="1285" max="1285" width="31.6640625" style="122" bestFit="1" customWidth="1"/>
    <col min="1286" max="1529" width="9.109375" style="122"/>
    <col min="1530" max="1530" width="5.88671875" style="122" customWidth="1"/>
    <col min="1531" max="1531" width="50.44140625" style="122" customWidth="1"/>
    <col min="1532" max="1535" width="7.6640625" style="122" customWidth="1"/>
    <col min="1536" max="1536" width="10.109375" style="122" customWidth="1"/>
    <col min="1537" max="1540" width="7.6640625" style="122" customWidth="1"/>
    <col min="1541" max="1541" width="31.6640625" style="122" bestFit="1" customWidth="1"/>
    <col min="1542" max="1785" width="9.109375" style="122"/>
    <col min="1786" max="1786" width="5.88671875" style="122" customWidth="1"/>
    <col min="1787" max="1787" width="50.44140625" style="122" customWidth="1"/>
    <col min="1788" max="1791" width="7.6640625" style="122" customWidth="1"/>
    <col min="1792" max="1792" width="10.109375" style="122" customWidth="1"/>
    <col min="1793" max="1796" width="7.6640625" style="122" customWidth="1"/>
    <col min="1797" max="1797" width="31.6640625" style="122" bestFit="1" customWidth="1"/>
    <col min="1798" max="2041" width="9.109375" style="122"/>
    <col min="2042" max="2042" width="5.88671875" style="122" customWidth="1"/>
    <col min="2043" max="2043" width="50.44140625" style="122" customWidth="1"/>
    <col min="2044" max="2047" width="7.6640625" style="122" customWidth="1"/>
    <col min="2048" max="2048" width="10.109375" style="122" customWidth="1"/>
    <col min="2049" max="2052" width="7.6640625" style="122" customWidth="1"/>
    <col min="2053" max="2053" width="31.6640625" style="122" bestFit="1" customWidth="1"/>
    <col min="2054" max="2297" width="9.109375" style="122"/>
    <col min="2298" max="2298" width="5.88671875" style="122" customWidth="1"/>
    <col min="2299" max="2299" width="50.44140625" style="122" customWidth="1"/>
    <col min="2300" max="2303" width="7.6640625" style="122" customWidth="1"/>
    <col min="2304" max="2304" width="10.109375" style="122" customWidth="1"/>
    <col min="2305" max="2308" width="7.6640625" style="122" customWidth="1"/>
    <col min="2309" max="2309" width="31.6640625" style="122" bestFit="1" customWidth="1"/>
    <col min="2310" max="2553" width="9.109375" style="122"/>
    <col min="2554" max="2554" width="5.88671875" style="122" customWidth="1"/>
    <col min="2555" max="2555" width="50.44140625" style="122" customWidth="1"/>
    <col min="2556" max="2559" width="7.6640625" style="122" customWidth="1"/>
    <col min="2560" max="2560" width="10.109375" style="122" customWidth="1"/>
    <col min="2561" max="2564" width="7.6640625" style="122" customWidth="1"/>
    <col min="2565" max="2565" width="31.6640625" style="122" bestFit="1" customWidth="1"/>
    <col min="2566" max="2809" width="9.109375" style="122"/>
    <col min="2810" max="2810" width="5.88671875" style="122" customWidth="1"/>
    <col min="2811" max="2811" width="50.44140625" style="122" customWidth="1"/>
    <col min="2812" max="2815" width="7.6640625" style="122" customWidth="1"/>
    <col min="2816" max="2816" width="10.109375" style="122" customWidth="1"/>
    <col min="2817" max="2820" width="7.6640625" style="122" customWidth="1"/>
    <col min="2821" max="2821" width="31.6640625" style="122" bestFit="1" customWidth="1"/>
    <col min="2822" max="3065" width="9.109375" style="122"/>
    <col min="3066" max="3066" width="5.88671875" style="122" customWidth="1"/>
    <col min="3067" max="3067" width="50.44140625" style="122" customWidth="1"/>
    <col min="3068" max="3071" width="7.6640625" style="122" customWidth="1"/>
    <col min="3072" max="3072" width="10.109375" style="122" customWidth="1"/>
    <col min="3073" max="3076" width="7.6640625" style="122" customWidth="1"/>
    <col min="3077" max="3077" width="31.6640625" style="122" bestFit="1" customWidth="1"/>
    <col min="3078" max="3321" width="9.109375" style="122"/>
    <col min="3322" max="3322" width="5.88671875" style="122" customWidth="1"/>
    <col min="3323" max="3323" width="50.44140625" style="122" customWidth="1"/>
    <col min="3324" max="3327" width="7.6640625" style="122" customWidth="1"/>
    <col min="3328" max="3328" width="10.109375" style="122" customWidth="1"/>
    <col min="3329" max="3332" width="7.6640625" style="122" customWidth="1"/>
    <col min="3333" max="3333" width="31.6640625" style="122" bestFit="1" customWidth="1"/>
    <col min="3334" max="3577" width="9.109375" style="122"/>
    <col min="3578" max="3578" width="5.88671875" style="122" customWidth="1"/>
    <col min="3579" max="3579" width="50.44140625" style="122" customWidth="1"/>
    <col min="3580" max="3583" width="7.6640625" style="122" customWidth="1"/>
    <col min="3584" max="3584" width="10.109375" style="122" customWidth="1"/>
    <col min="3585" max="3588" width="7.6640625" style="122" customWidth="1"/>
    <col min="3589" max="3589" width="31.6640625" style="122" bestFit="1" customWidth="1"/>
    <col min="3590" max="3833" width="9.109375" style="122"/>
    <col min="3834" max="3834" width="5.88671875" style="122" customWidth="1"/>
    <col min="3835" max="3835" width="50.44140625" style="122" customWidth="1"/>
    <col min="3836" max="3839" width="7.6640625" style="122" customWidth="1"/>
    <col min="3840" max="3840" width="10.109375" style="122" customWidth="1"/>
    <col min="3841" max="3844" width="7.6640625" style="122" customWidth="1"/>
    <col min="3845" max="3845" width="31.6640625" style="122" bestFit="1" customWidth="1"/>
    <col min="3846" max="4089" width="9.109375" style="122"/>
    <col min="4090" max="4090" width="5.88671875" style="122" customWidth="1"/>
    <col min="4091" max="4091" width="50.44140625" style="122" customWidth="1"/>
    <col min="4092" max="4095" width="7.6640625" style="122" customWidth="1"/>
    <col min="4096" max="4096" width="10.109375" style="122" customWidth="1"/>
    <col min="4097" max="4100" width="7.6640625" style="122" customWidth="1"/>
    <col min="4101" max="4101" width="31.6640625" style="122" bestFit="1" customWidth="1"/>
    <col min="4102" max="4345" width="9.109375" style="122"/>
    <col min="4346" max="4346" width="5.88671875" style="122" customWidth="1"/>
    <col min="4347" max="4347" width="50.44140625" style="122" customWidth="1"/>
    <col min="4348" max="4351" width="7.6640625" style="122" customWidth="1"/>
    <col min="4352" max="4352" width="10.109375" style="122" customWidth="1"/>
    <col min="4353" max="4356" width="7.6640625" style="122" customWidth="1"/>
    <col min="4357" max="4357" width="31.6640625" style="122" bestFit="1" customWidth="1"/>
    <col min="4358" max="4601" width="9.109375" style="122"/>
    <col min="4602" max="4602" width="5.88671875" style="122" customWidth="1"/>
    <col min="4603" max="4603" width="50.44140625" style="122" customWidth="1"/>
    <col min="4604" max="4607" width="7.6640625" style="122" customWidth="1"/>
    <col min="4608" max="4608" width="10.109375" style="122" customWidth="1"/>
    <col min="4609" max="4612" width="7.6640625" style="122" customWidth="1"/>
    <col min="4613" max="4613" width="31.6640625" style="122" bestFit="1" customWidth="1"/>
    <col min="4614" max="4857" width="9.109375" style="122"/>
    <col min="4858" max="4858" width="5.88671875" style="122" customWidth="1"/>
    <col min="4859" max="4859" width="50.44140625" style="122" customWidth="1"/>
    <col min="4860" max="4863" width="7.6640625" style="122" customWidth="1"/>
    <col min="4864" max="4864" width="10.109375" style="122" customWidth="1"/>
    <col min="4865" max="4868" width="7.6640625" style="122" customWidth="1"/>
    <col min="4869" max="4869" width="31.6640625" style="122" bestFit="1" customWidth="1"/>
    <col min="4870" max="5113" width="9.109375" style="122"/>
    <col min="5114" max="5114" width="5.88671875" style="122" customWidth="1"/>
    <col min="5115" max="5115" width="50.44140625" style="122" customWidth="1"/>
    <col min="5116" max="5119" width="7.6640625" style="122" customWidth="1"/>
    <col min="5120" max="5120" width="10.109375" style="122" customWidth="1"/>
    <col min="5121" max="5124" width="7.6640625" style="122" customWidth="1"/>
    <col min="5125" max="5125" width="31.6640625" style="122" bestFit="1" customWidth="1"/>
    <col min="5126" max="5369" width="9.109375" style="122"/>
    <col min="5370" max="5370" width="5.88671875" style="122" customWidth="1"/>
    <col min="5371" max="5371" width="50.44140625" style="122" customWidth="1"/>
    <col min="5372" max="5375" width="7.6640625" style="122" customWidth="1"/>
    <col min="5376" max="5376" width="10.109375" style="122" customWidth="1"/>
    <col min="5377" max="5380" width="7.6640625" style="122" customWidth="1"/>
    <col min="5381" max="5381" width="31.6640625" style="122" bestFit="1" customWidth="1"/>
    <col min="5382" max="5625" width="9.109375" style="122"/>
    <col min="5626" max="5626" width="5.88671875" style="122" customWidth="1"/>
    <col min="5627" max="5627" width="50.44140625" style="122" customWidth="1"/>
    <col min="5628" max="5631" width="7.6640625" style="122" customWidth="1"/>
    <col min="5632" max="5632" width="10.109375" style="122" customWidth="1"/>
    <col min="5633" max="5636" width="7.6640625" style="122" customWidth="1"/>
    <col min="5637" max="5637" width="31.6640625" style="122" bestFit="1" customWidth="1"/>
    <col min="5638" max="5881" width="9.109375" style="122"/>
    <col min="5882" max="5882" width="5.88671875" style="122" customWidth="1"/>
    <col min="5883" max="5883" width="50.44140625" style="122" customWidth="1"/>
    <col min="5884" max="5887" width="7.6640625" style="122" customWidth="1"/>
    <col min="5888" max="5888" width="10.109375" style="122" customWidth="1"/>
    <col min="5889" max="5892" width="7.6640625" style="122" customWidth="1"/>
    <col min="5893" max="5893" width="31.6640625" style="122" bestFit="1" customWidth="1"/>
    <col min="5894" max="6137" width="9.109375" style="122"/>
    <col min="6138" max="6138" width="5.88671875" style="122" customWidth="1"/>
    <col min="6139" max="6139" width="50.44140625" style="122" customWidth="1"/>
    <col min="6140" max="6143" width="7.6640625" style="122" customWidth="1"/>
    <col min="6144" max="6144" width="10.109375" style="122" customWidth="1"/>
    <col min="6145" max="6148" width="7.6640625" style="122" customWidth="1"/>
    <col min="6149" max="6149" width="31.6640625" style="122" bestFit="1" customWidth="1"/>
    <col min="6150" max="6393" width="9.109375" style="122"/>
    <col min="6394" max="6394" width="5.88671875" style="122" customWidth="1"/>
    <col min="6395" max="6395" width="50.44140625" style="122" customWidth="1"/>
    <col min="6396" max="6399" width="7.6640625" style="122" customWidth="1"/>
    <col min="6400" max="6400" width="10.109375" style="122" customWidth="1"/>
    <col min="6401" max="6404" width="7.6640625" style="122" customWidth="1"/>
    <col min="6405" max="6405" width="31.6640625" style="122" bestFit="1" customWidth="1"/>
    <col min="6406" max="6649" width="9.109375" style="122"/>
    <col min="6650" max="6650" width="5.88671875" style="122" customWidth="1"/>
    <col min="6651" max="6651" width="50.44140625" style="122" customWidth="1"/>
    <col min="6652" max="6655" width="7.6640625" style="122" customWidth="1"/>
    <col min="6656" max="6656" width="10.109375" style="122" customWidth="1"/>
    <col min="6657" max="6660" width="7.6640625" style="122" customWidth="1"/>
    <col min="6661" max="6661" width="31.6640625" style="122" bestFit="1" customWidth="1"/>
    <col min="6662" max="6905" width="9.109375" style="122"/>
    <col min="6906" max="6906" width="5.88671875" style="122" customWidth="1"/>
    <col min="6907" max="6907" width="50.44140625" style="122" customWidth="1"/>
    <col min="6908" max="6911" width="7.6640625" style="122" customWidth="1"/>
    <col min="6912" max="6912" width="10.109375" style="122" customWidth="1"/>
    <col min="6913" max="6916" width="7.6640625" style="122" customWidth="1"/>
    <col min="6917" max="6917" width="31.6640625" style="122" bestFit="1" customWidth="1"/>
    <col min="6918" max="7161" width="9.109375" style="122"/>
    <col min="7162" max="7162" width="5.88671875" style="122" customWidth="1"/>
    <col min="7163" max="7163" width="50.44140625" style="122" customWidth="1"/>
    <col min="7164" max="7167" width="7.6640625" style="122" customWidth="1"/>
    <col min="7168" max="7168" width="10.109375" style="122" customWidth="1"/>
    <col min="7169" max="7172" width="7.6640625" style="122" customWidth="1"/>
    <col min="7173" max="7173" width="31.6640625" style="122" bestFit="1" customWidth="1"/>
    <col min="7174" max="7417" width="9.109375" style="122"/>
    <col min="7418" max="7418" width="5.88671875" style="122" customWidth="1"/>
    <col min="7419" max="7419" width="50.44140625" style="122" customWidth="1"/>
    <col min="7420" max="7423" width="7.6640625" style="122" customWidth="1"/>
    <col min="7424" max="7424" width="10.109375" style="122" customWidth="1"/>
    <col min="7425" max="7428" width="7.6640625" style="122" customWidth="1"/>
    <col min="7429" max="7429" width="31.6640625" style="122" bestFit="1" customWidth="1"/>
    <col min="7430" max="7673" width="9.109375" style="122"/>
    <col min="7674" max="7674" width="5.88671875" style="122" customWidth="1"/>
    <col min="7675" max="7675" width="50.44140625" style="122" customWidth="1"/>
    <col min="7676" max="7679" width="7.6640625" style="122" customWidth="1"/>
    <col min="7680" max="7680" width="10.109375" style="122" customWidth="1"/>
    <col min="7681" max="7684" width="7.6640625" style="122" customWidth="1"/>
    <col min="7685" max="7685" width="31.6640625" style="122" bestFit="1" customWidth="1"/>
    <col min="7686" max="7929" width="9.109375" style="122"/>
    <col min="7930" max="7930" width="5.88671875" style="122" customWidth="1"/>
    <col min="7931" max="7931" width="50.44140625" style="122" customWidth="1"/>
    <col min="7932" max="7935" width="7.6640625" style="122" customWidth="1"/>
    <col min="7936" max="7936" width="10.109375" style="122" customWidth="1"/>
    <col min="7937" max="7940" width="7.6640625" style="122" customWidth="1"/>
    <col min="7941" max="7941" width="31.6640625" style="122" bestFit="1" customWidth="1"/>
    <col min="7942" max="8185" width="9.109375" style="122"/>
    <col min="8186" max="8186" width="5.88671875" style="122" customWidth="1"/>
    <col min="8187" max="8187" width="50.44140625" style="122" customWidth="1"/>
    <col min="8188" max="8191" width="7.6640625" style="122" customWidth="1"/>
    <col min="8192" max="8192" width="10.109375" style="122" customWidth="1"/>
    <col min="8193" max="8196" width="7.6640625" style="122" customWidth="1"/>
    <col min="8197" max="8197" width="31.6640625" style="122" bestFit="1" customWidth="1"/>
    <col min="8198" max="8441" width="9.109375" style="122"/>
    <col min="8442" max="8442" width="5.88671875" style="122" customWidth="1"/>
    <col min="8443" max="8443" width="50.44140625" style="122" customWidth="1"/>
    <col min="8444" max="8447" width="7.6640625" style="122" customWidth="1"/>
    <col min="8448" max="8448" width="10.109375" style="122" customWidth="1"/>
    <col min="8449" max="8452" width="7.6640625" style="122" customWidth="1"/>
    <col min="8453" max="8453" width="31.6640625" style="122" bestFit="1" customWidth="1"/>
    <col min="8454" max="8697" width="9.109375" style="122"/>
    <col min="8698" max="8698" width="5.88671875" style="122" customWidth="1"/>
    <col min="8699" max="8699" width="50.44140625" style="122" customWidth="1"/>
    <col min="8700" max="8703" width="7.6640625" style="122" customWidth="1"/>
    <col min="8704" max="8704" width="10.109375" style="122" customWidth="1"/>
    <col min="8705" max="8708" width="7.6640625" style="122" customWidth="1"/>
    <col min="8709" max="8709" width="31.6640625" style="122" bestFit="1" customWidth="1"/>
    <col min="8710" max="8953" width="9.109375" style="122"/>
    <col min="8954" max="8954" width="5.88671875" style="122" customWidth="1"/>
    <col min="8955" max="8955" width="50.44140625" style="122" customWidth="1"/>
    <col min="8956" max="8959" width="7.6640625" style="122" customWidth="1"/>
    <col min="8960" max="8960" width="10.109375" style="122" customWidth="1"/>
    <col min="8961" max="8964" width="7.6640625" style="122" customWidth="1"/>
    <col min="8965" max="8965" width="31.6640625" style="122" bestFit="1" customWidth="1"/>
    <col min="8966" max="9209" width="9.109375" style="122"/>
    <col min="9210" max="9210" width="5.88671875" style="122" customWidth="1"/>
    <col min="9211" max="9211" width="50.44140625" style="122" customWidth="1"/>
    <col min="9212" max="9215" width="7.6640625" style="122" customWidth="1"/>
    <col min="9216" max="9216" width="10.109375" style="122" customWidth="1"/>
    <col min="9217" max="9220" width="7.6640625" style="122" customWidth="1"/>
    <col min="9221" max="9221" width="31.6640625" style="122" bestFit="1" customWidth="1"/>
    <col min="9222" max="9465" width="9.109375" style="122"/>
    <col min="9466" max="9466" width="5.88671875" style="122" customWidth="1"/>
    <col min="9467" max="9467" width="50.44140625" style="122" customWidth="1"/>
    <col min="9468" max="9471" width="7.6640625" style="122" customWidth="1"/>
    <col min="9472" max="9472" width="10.109375" style="122" customWidth="1"/>
    <col min="9473" max="9476" width="7.6640625" style="122" customWidth="1"/>
    <col min="9477" max="9477" width="31.6640625" style="122" bestFit="1" customWidth="1"/>
    <col min="9478" max="9721" width="9.109375" style="122"/>
    <col min="9722" max="9722" width="5.88671875" style="122" customWidth="1"/>
    <col min="9723" max="9723" width="50.44140625" style="122" customWidth="1"/>
    <col min="9724" max="9727" width="7.6640625" style="122" customWidth="1"/>
    <col min="9728" max="9728" width="10.109375" style="122" customWidth="1"/>
    <col min="9729" max="9732" width="7.6640625" style="122" customWidth="1"/>
    <col min="9733" max="9733" width="31.6640625" style="122" bestFit="1" customWidth="1"/>
    <col min="9734" max="9977" width="9.109375" style="122"/>
    <col min="9978" max="9978" width="5.88671875" style="122" customWidth="1"/>
    <col min="9979" max="9979" width="50.44140625" style="122" customWidth="1"/>
    <col min="9980" max="9983" width="7.6640625" style="122" customWidth="1"/>
    <col min="9984" max="9984" width="10.109375" style="122" customWidth="1"/>
    <col min="9985" max="9988" width="7.6640625" style="122" customWidth="1"/>
    <col min="9989" max="9989" width="31.6640625" style="122" bestFit="1" customWidth="1"/>
    <col min="9990" max="10233" width="9.109375" style="122"/>
    <col min="10234" max="10234" width="5.88671875" style="122" customWidth="1"/>
    <col min="10235" max="10235" width="50.44140625" style="122" customWidth="1"/>
    <col min="10236" max="10239" width="7.6640625" style="122" customWidth="1"/>
    <col min="10240" max="10240" width="10.109375" style="122" customWidth="1"/>
    <col min="10241" max="10244" width="7.6640625" style="122" customWidth="1"/>
    <col min="10245" max="10245" width="31.6640625" style="122" bestFit="1" customWidth="1"/>
    <col min="10246" max="10489" width="9.109375" style="122"/>
    <col min="10490" max="10490" width="5.88671875" style="122" customWidth="1"/>
    <col min="10491" max="10491" width="50.44140625" style="122" customWidth="1"/>
    <col min="10492" max="10495" width="7.6640625" style="122" customWidth="1"/>
    <col min="10496" max="10496" width="10.109375" style="122" customWidth="1"/>
    <col min="10497" max="10500" width="7.6640625" style="122" customWidth="1"/>
    <col min="10501" max="10501" width="31.6640625" style="122" bestFit="1" customWidth="1"/>
    <col min="10502" max="10745" width="9.109375" style="122"/>
    <col min="10746" max="10746" width="5.88671875" style="122" customWidth="1"/>
    <col min="10747" max="10747" width="50.44140625" style="122" customWidth="1"/>
    <col min="10748" max="10751" width="7.6640625" style="122" customWidth="1"/>
    <col min="10752" max="10752" width="10.109375" style="122" customWidth="1"/>
    <col min="10753" max="10756" width="7.6640625" style="122" customWidth="1"/>
    <col min="10757" max="10757" width="31.6640625" style="122" bestFit="1" customWidth="1"/>
    <col min="10758" max="11001" width="9.109375" style="122"/>
    <col min="11002" max="11002" width="5.88671875" style="122" customWidth="1"/>
    <col min="11003" max="11003" width="50.44140625" style="122" customWidth="1"/>
    <col min="11004" max="11007" width="7.6640625" style="122" customWidth="1"/>
    <col min="11008" max="11008" width="10.109375" style="122" customWidth="1"/>
    <col min="11009" max="11012" width="7.6640625" style="122" customWidth="1"/>
    <col min="11013" max="11013" width="31.6640625" style="122" bestFit="1" customWidth="1"/>
    <col min="11014" max="11257" width="9.109375" style="122"/>
    <col min="11258" max="11258" width="5.88671875" style="122" customWidth="1"/>
    <col min="11259" max="11259" width="50.44140625" style="122" customWidth="1"/>
    <col min="11260" max="11263" width="7.6640625" style="122" customWidth="1"/>
    <col min="11264" max="11264" width="10.109375" style="122" customWidth="1"/>
    <col min="11265" max="11268" width="7.6640625" style="122" customWidth="1"/>
    <col min="11269" max="11269" width="31.6640625" style="122" bestFit="1" customWidth="1"/>
    <col min="11270" max="11513" width="9.109375" style="122"/>
    <col min="11514" max="11514" width="5.88671875" style="122" customWidth="1"/>
    <col min="11515" max="11515" width="50.44140625" style="122" customWidth="1"/>
    <col min="11516" max="11519" width="7.6640625" style="122" customWidth="1"/>
    <col min="11520" max="11520" width="10.109375" style="122" customWidth="1"/>
    <col min="11521" max="11524" width="7.6640625" style="122" customWidth="1"/>
    <col min="11525" max="11525" width="31.6640625" style="122" bestFit="1" customWidth="1"/>
    <col min="11526" max="11769" width="9.109375" style="122"/>
    <col min="11770" max="11770" width="5.88671875" style="122" customWidth="1"/>
    <col min="11771" max="11771" width="50.44140625" style="122" customWidth="1"/>
    <col min="11772" max="11775" width="7.6640625" style="122" customWidth="1"/>
    <col min="11776" max="11776" width="10.109375" style="122" customWidth="1"/>
    <col min="11777" max="11780" width="7.6640625" style="122" customWidth="1"/>
    <col min="11781" max="11781" width="31.6640625" style="122" bestFit="1" customWidth="1"/>
    <col min="11782" max="12025" width="9.109375" style="122"/>
    <col min="12026" max="12026" width="5.88671875" style="122" customWidth="1"/>
    <col min="12027" max="12027" width="50.44140625" style="122" customWidth="1"/>
    <col min="12028" max="12031" width="7.6640625" style="122" customWidth="1"/>
    <col min="12032" max="12032" width="10.109375" style="122" customWidth="1"/>
    <col min="12033" max="12036" width="7.6640625" style="122" customWidth="1"/>
    <col min="12037" max="12037" width="31.6640625" style="122" bestFit="1" customWidth="1"/>
    <col min="12038" max="12281" width="9.109375" style="122"/>
    <col min="12282" max="12282" width="5.88671875" style="122" customWidth="1"/>
    <col min="12283" max="12283" width="50.44140625" style="122" customWidth="1"/>
    <col min="12284" max="12287" width="7.6640625" style="122" customWidth="1"/>
    <col min="12288" max="12288" width="10.109375" style="122" customWidth="1"/>
    <col min="12289" max="12292" width="7.6640625" style="122" customWidth="1"/>
    <col min="12293" max="12293" width="31.6640625" style="122" bestFit="1" customWidth="1"/>
    <col min="12294" max="12537" width="9.109375" style="122"/>
    <col min="12538" max="12538" width="5.88671875" style="122" customWidth="1"/>
    <col min="12539" max="12539" width="50.44140625" style="122" customWidth="1"/>
    <col min="12540" max="12543" width="7.6640625" style="122" customWidth="1"/>
    <col min="12544" max="12544" width="10.109375" style="122" customWidth="1"/>
    <col min="12545" max="12548" width="7.6640625" style="122" customWidth="1"/>
    <col min="12549" max="12549" width="31.6640625" style="122" bestFit="1" customWidth="1"/>
    <col min="12550" max="12793" width="9.109375" style="122"/>
    <col min="12794" max="12794" width="5.88671875" style="122" customWidth="1"/>
    <col min="12795" max="12795" width="50.44140625" style="122" customWidth="1"/>
    <col min="12796" max="12799" width="7.6640625" style="122" customWidth="1"/>
    <col min="12800" max="12800" width="10.109375" style="122" customWidth="1"/>
    <col min="12801" max="12804" width="7.6640625" style="122" customWidth="1"/>
    <col min="12805" max="12805" width="31.6640625" style="122" bestFit="1" customWidth="1"/>
    <col min="12806" max="13049" width="9.109375" style="122"/>
    <col min="13050" max="13050" width="5.88671875" style="122" customWidth="1"/>
    <col min="13051" max="13051" width="50.44140625" style="122" customWidth="1"/>
    <col min="13052" max="13055" width="7.6640625" style="122" customWidth="1"/>
    <col min="13056" max="13056" width="10.109375" style="122" customWidth="1"/>
    <col min="13057" max="13060" width="7.6640625" style="122" customWidth="1"/>
    <col min="13061" max="13061" width="31.6640625" style="122" bestFit="1" customWidth="1"/>
    <col min="13062" max="13305" width="9.109375" style="122"/>
    <col min="13306" max="13306" width="5.88671875" style="122" customWidth="1"/>
    <col min="13307" max="13307" width="50.44140625" style="122" customWidth="1"/>
    <col min="13308" max="13311" width="7.6640625" style="122" customWidth="1"/>
    <col min="13312" max="13312" width="10.109375" style="122" customWidth="1"/>
    <col min="13313" max="13316" width="7.6640625" style="122" customWidth="1"/>
    <col min="13317" max="13317" width="31.6640625" style="122" bestFit="1" customWidth="1"/>
    <col min="13318" max="13561" width="9.109375" style="122"/>
    <col min="13562" max="13562" width="5.88671875" style="122" customWidth="1"/>
    <col min="13563" max="13563" width="50.44140625" style="122" customWidth="1"/>
    <col min="13564" max="13567" width="7.6640625" style="122" customWidth="1"/>
    <col min="13568" max="13568" width="10.109375" style="122" customWidth="1"/>
    <col min="13569" max="13572" width="7.6640625" style="122" customWidth="1"/>
    <col min="13573" max="13573" width="31.6640625" style="122" bestFit="1" customWidth="1"/>
    <col min="13574" max="13817" width="9.109375" style="122"/>
    <col min="13818" max="13818" width="5.88671875" style="122" customWidth="1"/>
    <col min="13819" max="13819" width="50.44140625" style="122" customWidth="1"/>
    <col min="13820" max="13823" width="7.6640625" style="122" customWidth="1"/>
    <col min="13824" max="13824" width="10.109375" style="122" customWidth="1"/>
    <col min="13825" max="13828" width="7.6640625" style="122" customWidth="1"/>
    <col min="13829" max="13829" width="31.6640625" style="122" bestFit="1" customWidth="1"/>
    <col min="13830" max="14073" width="9.109375" style="122"/>
    <col min="14074" max="14074" width="5.88671875" style="122" customWidth="1"/>
    <col min="14075" max="14075" width="50.44140625" style="122" customWidth="1"/>
    <col min="14076" max="14079" width="7.6640625" style="122" customWidth="1"/>
    <col min="14080" max="14080" width="10.109375" style="122" customWidth="1"/>
    <col min="14081" max="14084" width="7.6640625" style="122" customWidth="1"/>
    <col min="14085" max="14085" width="31.6640625" style="122" bestFit="1" customWidth="1"/>
    <col min="14086" max="14329" width="9.109375" style="122"/>
    <col min="14330" max="14330" width="5.88671875" style="122" customWidth="1"/>
    <col min="14331" max="14331" width="50.44140625" style="122" customWidth="1"/>
    <col min="14332" max="14335" width="7.6640625" style="122" customWidth="1"/>
    <col min="14336" max="14336" width="10.109375" style="122" customWidth="1"/>
    <col min="14337" max="14340" width="7.6640625" style="122" customWidth="1"/>
    <col min="14341" max="14341" width="31.6640625" style="122" bestFit="1" customWidth="1"/>
    <col min="14342" max="14585" width="9.109375" style="122"/>
    <col min="14586" max="14586" width="5.88671875" style="122" customWidth="1"/>
    <col min="14587" max="14587" width="50.44140625" style="122" customWidth="1"/>
    <col min="14588" max="14591" width="7.6640625" style="122" customWidth="1"/>
    <col min="14592" max="14592" width="10.109375" style="122" customWidth="1"/>
    <col min="14593" max="14596" width="7.6640625" style="122" customWidth="1"/>
    <col min="14597" max="14597" width="31.6640625" style="122" bestFit="1" customWidth="1"/>
    <col min="14598" max="14841" width="9.109375" style="122"/>
    <col min="14842" max="14842" width="5.88671875" style="122" customWidth="1"/>
    <col min="14843" max="14843" width="50.44140625" style="122" customWidth="1"/>
    <col min="14844" max="14847" width="7.6640625" style="122" customWidth="1"/>
    <col min="14848" max="14848" width="10.109375" style="122" customWidth="1"/>
    <col min="14849" max="14852" width="7.6640625" style="122" customWidth="1"/>
    <col min="14853" max="14853" width="31.6640625" style="122" bestFit="1" customWidth="1"/>
    <col min="14854" max="15097" width="9.109375" style="122"/>
    <col min="15098" max="15098" width="5.88671875" style="122" customWidth="1"/>
    <col min="15099" max="15099" width="50.44140625" style="122" customWidth="1"/>
    <col min="15100" max="15103" width="7.6640625" style="122" customWidth="1"/>
    <col min="15104" max="15104" width="10.109375" style="122" customWidth="1"/>
    <col min="15105" max="15108" width="7.6640625" style="122" customWidth="1"/>
    <col min="15109" max="15109" width="31.6640625" style="122" bestFit="1" customWidth="1"/>
    <col min="15110" max="15353" width="9.109375" style="122"/>
    <col min="15354" max="15354" width="5.88671875" style="122" customWidth="1"/>
    <col min="15355" max="15355" width="50.44140625" style="122" customWidth="1"/>
    <col min="15356" max="15359" width="7.6640625" style="122" customWidth="1"/>
    <col min="15360" max="15360" width="10.109375" style="122" customWidth="1"/>
    <col min="15361" max="15364" width="7.6640625" style="122" customWidth="1"/>
    <col min="15365" max="15365" width="31.6640625" style="122" bestFit="1" customWidth="1"/>
    <col min="15366" max="15609" width="9.109375" style="122"/>
    <col min="15610" max="15610" width="5.88671875" style="122" customWidth="1"/>
    <col min="15611" max="15611" width="50.44140625" style="122" customWidth="1"/>
    <col min="15612" max="15615" width="7.6640625" style="122" customWidth="1"/>
    <col min="15616" max="15616" width="10.109375" style="122" customWidth="1"/>
    <col min="15617" max="15620" width="7.6640625" style="122" customWidth="1"/>
    <col min="15621" max="15621" width="31.6640625" style="122" bestFit="1" customWidth="1"/>
    <col min="15622" max="15865" width="9.109375" style="122"/>
    <col min="15866" max="15866" width="5.88671875" style="122" customWidth="1"/>
    <col min="15867" max="15867" width="50.44140625" style="122" customWidth="1"/>
    <col min="15868" max="15871" width="7.6640625" style="122" customWidth="1"/>
    <col min="15872" max="15872" width="10.109375" style="122" customWidth="1"/>
    <col min="15873" max="15876" width="7.6640625" style="122" customWidth="1"/>
    <col min="15877" max="15877" width="31.6640625" style="122" bestFit="1" customWidth="1"/>
    <col min="15878" max="16121" width="9.109375" style="122"/>
    <col min="16122" max="16122" width="5.88671875" style="122" customWidth="1"/>
    <col min="16123" max="16123" width="50.44140625" style="122" customWidth="1"/>
    <col min="16124" max="16127" width="7.6640625" style="122" customWidth="1"/>
    <col min="16128" max="16128" width="10.109375" style="122" customWidth="1"/>
    <col min="16129" max="16132" width="7.6640625" style="122" customWidth="1"/>
    <col min="16133" max="16133" width="31.6640625" style="122" bestFit="1" customWidth="1"/>
    <col min="16134" max="16384" width="9.109375" style="122"/>
  </cols>
  <sheetData>
    <row r="1" spans="1:8">
      <c r="B1" s="128" t="s">
        <v>1488</v>
      </c>
      <c r="C1" s="769" t="s">
        <v>2643</v>
      </c>
    </row>
    <row r="3" spans="1:8" ht="13.8">
      <c r="A3" s="826" t="s">
        <v>2709</v>
      </c>
      <c r="B3" s="230"/>
      <c r="C3" s="230"/>
      <c r="D3" s="230"/>
      <c r="E3" s="230"/>
      <c r="F3" s="230"/>
      <c r="G3" s="230"/>
      <c r="H3" s="230"/>
    </row>
    <row r="4" spans="1:8" ht="15" customHeight="1">
      <c r="A4" s="723" t="s">
        <v>2848</v>
      </c>
      <c r="B4" s="489"/>
      <c r="C4" s="489"/>
      <c r="D4" s="489"/>
      <c r="E4" s="489"/>
      <c r="F4" s="489"/>
      <c r="G4" s="489"/>
      <c r="H4" s="489"/>
    </row>
    <row r="5" spans="1:8" ht="25.5" customHeight="1">
      <c r="A5" s="518" t="s">
        <v>1548</v>
      </c>
      <c r="B5" s="518" t="s">
        <v>2849</v>
      </c>
      <c r="C5" s="428" t="s">
        <v>1487</v>
      </c>
      <c r="D5" s="518"/>
      <c r="E5" s="518"/>
      <c r="G5" s="405"/>
      <c r="H5" s="405"/>
    </row>
    <row r="6" spans="1:8" ht="27" customHeight="1">
      <c r="A6" s="291" t="s">
        <v>30</v>
      </c>
      <c r="B6" s="292" t="s">
        <v>19</v>
      </c>
      <c r="C6" s="293" t="s">
        <v>81</v>
      </c>
      <c r="D6" s="293" t="s">
        <v>77</v>
      </c>
      <c r="E6" s="892" t="s">
        <v>82</v>
      </c>
      <c r="F6" s="890" t="s">
        <v>83</v>
      </c>
      <c r="G6" s="355" t="s">
        <v>84</v>
      </c>
      <c r="H6" s="231" t="s">
        <v>85</v>
      </c>
    </row>
    <row r="7" spans="1:8" ht="15" customHeight="1">
      <c r="A7" s="1254">
        <v>88248</v>
      </c>
      <c r="B7" s="1264" t="s">
        <v>307</v>
      </c>
      <c r="C7" s="293" t="s">
        <v>104</v>
      </c>
      <c r="D7" s="1258" t="s">
        <v>383</v>
      </c>
      <c r="E7" s="1274">
        <v>4</v>
      </c>
      <c r="F7" s="837">
        <f>'COMP AUX'!G321</f>
        <v>10.98</v>
      </c>
      <c r="G7" s="429">
        <f>TRUNC(E7*F7,2)</f>
        <v>43.92</v>
      </c>
      <c r="H7" s="231"/>
    </row>
    <row r="8" spans="1:8" ht="15" customHeight="1">
      <c r="A8" s="1255"/>
      <c r="B8" s="1265"/>
      <c r="C8" s="367" t="s">
        <v>87</v>
      </c>
      <c r="D8" s="1259"/>
      <c r="E8" s="1275"/>
      <c r="F8" s="957">
        <f>'COMP AUX'!G322</f>
        <v>4.4000000000000004</v>
      </c>
      <c r="G8" s="403">
        <f>TRUNC(E7*F8,2)</f>
        <v>17.600000000000001</v>
      </c>
      <c r="H8" s="232"/>
    </row>
    <row r="9" spans="1:8" ht="15" customHeight="1">
      <c r="A9" s="1254">
        <v>88267</v>
      </c>
      <c r="B9" s="1264" t="s">
        <v>271</v>
      </c>
      <c r="C9" s="293" t="s">
        <v>104</v>
      </c>
      <c r="D9" s="1258" t="s">
        <v>383</v>
      </c>
      <c r="E9" s="1274">
        <v>8</v>
      </c>
      <c r="F9" s="957">
        <f>'COMP AUX'!G338</f>
        <v>15.5</v>
      </c>
      <c r="G9" s="403">
        <f>TRUNC(E9*F9,2)</f>
        <v>124</v>
      </c>
      <c r="H9" s="232"/>
    </row>
    <row r="10" spans="1:8" ht="15" customHeight="1">
      <c r="A10" s="1255"/>
      <c r="B10" s="1265"/>
      <c r="C10" s="367" t="s">
        <v>87</v>
      </c>
      <c r="D10" s="1259"/>
      <c r="E10" s="1275"/>
      <c r="F10" s="957">
        <f>'COMP AUX'!G339</f>
        <v>4.4000000000000004</v>
      </c>
      <c r="G10" s="403">
        <f>TRUNC(E9*F10,2)</f>
        <v>35.200000000000003</v>
      </c>
      <c r="H10" s="232"/>
    </row>
    <row r="11" spans="1:8" ht="15" customHeight="1">
      <c r="A11" s="1254">
        <v>88309</v>
      </c>
      <c r="B11" s="1264" t="s">
        <v>118</v>
      </c>
      <c r="C11" s="367"/>
      <c r="D11" s="901"/>
      <c r="E11" s="1274">
        <v>8</v>
      </c>
      <c r="F11" s="957">
        <f>'COMP AUX'!G151</f>
        <v>15.020000000000001</v>
      </c>
      <c r="G11" s="403">
        <f>TRUNC(E11*F11,2)</f>
        <v>120.16</v>
      </c>
      <c r="H11" s="232"/>
    </row>
    <row r="12" spans="1:8" ht="15" customHeight="1">
      <c r="A12" s="1255"/>
      <c r="B12" s="1265"/>
      <c r="C12" s="367"/>
      <c r="D12" s="902"/>
      <c r="E12" s="1275"/>
      <c r="F12" s="957">
        <f>'COMP AUX'!G152</f>
        <v>4.79</v>
      </c>
      <c r="G12" s="403">
        <f>TRUNC(E11*F12,2)</f>
        <v>38.32</v>
      </c>
      <c r="H12" s="232"/>
    </row>
    <row r="13" spans="1:8" ht="15" customHeight="1">
      <c r="A13" s="1254">
        <v>88316</v>
      </c>
      <c r="B13" s="1256" t="s">
        <v>110</v>
      </c>
      <c r="C13" s="367" t="s">
        <v>104</v>
      </c>
      <c r="D13" s="1258" t="s">
        <v>383</v>
      </c>
      <c r="E13" s="1274">
        <v>8.1199999999999992</v>
      </c>
      <c r="F13" s="957">
        <f>'COMP AUX'!G104</f>
        <v>11.18</v>
      </c>
      <c r="G13" s="403">
        <f>TRUNC(E13*F13,2)</f>
        <v>90.78</v>
      </c>
      <c r="H13" s="232"/>
    </row>
    <row r="14" spans="1:8" ht="15" customHeight="1">
      <c r="A14" s="1255"/>
      <c r="B14" s="1257"/>
      <c r="C14" s="367" t="s">
        <v>87</v>
      </c>
      <c r="D14" s="1259"/>
      <c r="E14" s="1275"/>
      <c r="F14" s="957">
        <f>'COMP AUX'!G105</f>
        <v>4.7300000000000004</v>
      </c>
      <c r="G14" s="403">
        <f>TRUNC(E13*F14,2)</f>
        <v>38.4</v>
      </c>
      <c r="H14" s="232"/>
    </row>
    <row r="15" spans="1:8" ht="15" customHeight="1">
      <c r="A15" s="1254">
        <v>88316</v>
      </c>
      <c r="B15" s="1256" t="s">
        <v>1751</v>
      </c>
      <c r="C15" s="367" t="s">
        <v>104</v>
      </c>
      <c r="D15" s="1258" t="s">
        <v>383</v>
      </c>
      <c r="E15" s="1274">
        <v>8</v>
      </c>
      <c r="F15" s="957">
        <f>'COMP AUX'!G87</f>
        <v>14.92</v>
      </c>
      <c r="G15" s="403">
        <f>TRUNC(E15*F15,2)</f>
        <v>119.36</v>
      </c>
      <c r="H15" s="232"/>
    </row>
    <row r="16" spans="1:8" ht="15" customHeight="1">
      <c r="A16" s="1255"/>
      <c r="B16" s="1257"/>
      <c r="C16" s="367" t="s">
        <v>87</v>
      </c>
      <c r="D16" s="1259"/>
      <c r="E16" s="1275"/>
      <c r="F16" s="957">
        <f>'COMP AUX'!G88</f>
        <v>4.75</v>
      </c>
      <c r="G16" s="403">
        <f>TRUNC(E15*F16,2)</f>
        <v>38</v>
      </c>
      <c r="H16" s="232"/>
    </row>
    <row r="17" spans="1:8" ht="29.25" customHeight="1">
      <c r="A17" s="427" t="s">
        <v>2850</v>
      </c>
      <c r="B17" s="399" t="s">
        <v>2845</v>
      </c>
      <c r="C17" s="367" t="s">
        <v>87</v>
      </c>
      <c r="D17" s="367" t="s">
        <v>102</v>
      </c>
      <c r="E17" s="955">
        <v>1</v>
      </c>
      <c r="F17" s="956">
        <v>9.4</v>
      </c>
      <c r="G17" s="403">
        <f t="shared" ref="G17:G26" si="0">TRUNC(E17*F17,2)</f>
        <v>9.4</v>
      </c>
      <c r="H17" s="232"/>
    </row>
    <row r="18" spans="1:8" ht="16.5" customHeight="1">
      <c r="A18" s="427" t="s">
        <v>2829</v>
      </c>
      <c r="B18" s="400" t="s">
        <v>2831</v>
      </c>
      <c r="C18" s="367" t="s">
        <v>87</v>
      </c>
      <c r="D18" s="367" t="s">
        <v>391</v>
      </c>
      <c r="E18" s="955">
        <v>5</v>
      </c>
      <c r="F18" s="956">
        <v>10.88</v>
      </c>
      <c r="G18" s="403">
        <f t="shared" si="0"/>
        <v>54.4</v>
      </c>
      <c r="H18" s="232"/>
    </row>
    <row r="19" spans="1:8" ht="29.25" customHeight="1">
      <c r="A19" s="427" t="s">
        <v>2830</v>
      </c>
      <c r="B19" s="399" t="s">
        <v>2844</v>
      </c>
      <c r="C19" s="367" t="s">
        <v>87</v>
      </c>
      <c r="D19" s="367" t="s">
        <v>438</v>
      </c>
      <c r="E19" s="955">
        <v>1.89E-2</v>
      </c>
      <c r="F19" s="956">
        <v>46</v>
      </c>
      <c r="G19" s="403">
        <f t="shared" si="0"/>
        <v>0.86</v>
      </c>
      <c r="H19" s="232"/>
    </row>
    <row r="20" spans="1:8" ht="29.25" customHeight="1">
      <c r="A20" s="427" t="s">
        <v>2832</v>
      </c>
      <c r="B20" s="399" t="s">
        <v>2833</v>
      </c>
      <c r="C20" s="367" t="s">
        <v>87</v>
      </c>
      <c r="D20" s="367" t="s">
        <v>2713</v>
      </c>
      <c r="E20" s="955">
        <v>1</v>
      </c>
      <c r="F20" s="956">
        <v>68.3</v>
      </c>
      <c r="G20" s="403">
        <f t="shared" si="0"/>
        <v>68.3</v>
      </c>
      <c r="H20" s="232"/>
    </row>
    <row r="21" spans="1:8" ht="29.25" customHeight="1">
      <c r="A21" s="427" t="s">
        <v>2834</v>
      </c>
      <c r="B21" s="399" t="s">
        <v>2835</v>
      </c>
      <c r="C21" s="367" t="s">
        <v>87</v>
      </c>
      <c r="D21" s="367" t="s">
        <v>2713</v>
      </c>
      <c r="E21" s="955">
        <v>1</v>
      </c>
      <c r="F21" s="956">
        <v>166.5</v>
      </c>
      <c r="G21" s="403">
        <f t="shared" si="0"/>
        <v>166.5</v>
      </c>
      <c r="H21" s="232"/>
    </row>
    <row r="22" spans="1:8" ht="29.25" customHeight="1">
      <c r="A22" s="427" t="s">
        <v>2837</v>
      </c>
      <c r="B22" s="399" t="s">
        <v>2836</v>
      </c>
      <c r="C22" s="367" t="s">
        <v>87</v>
      </c>
      <c r="D22" s="367" t="s">
        <v>391</v>
      </c>
      <c r="E22" s="401">
        <v>8</v>
      </c>
      <c r="F22" s="956">
        <v>6.18</v>
      </c>
      <c r="G22" s="403">
        <f t="shared" si="0"/>
        <v>49.44</v>
      </c>
      <c r="H22" s="232"/>
    </row>
    <row r="23" spans="1:8" ht="29.25" customHeight="1">
      <c r="A23" s="427" t="s">
        <v>2838</v>
      </c>
      <c r="B23" s="399" t="s">
        <v>2846</v>
      </c>
      <c r="C23" s="367" t="s">
        <v>87</v>
      </c>
      <c r="D23" s="367" t="s">
        <v>391</v>
      </c>
      <c r="E23" s="401">
        <v>30</v>
      </c>
      <c r="F23" s="956">
        <v>10.5</v>
      </c>
      <c r="G23" s="403">
        <f t="shared" si="0"/>
        <v>315</v>
      </c>
      <c r="H23" s="232"/>
    </row>
    <row r="24" spans="1:8" ht="29.25" customHeight="1">
      <c r="A24" s="427" t="s">
        <v>2839</v>
      </c>
      <c r="B24" s="399" t="s">
        <v>2847</v>
      </c>
      <c r="C24" s="367" t="s">
        <v>87</v>
      </c>
      <c r="D24" s="367" t="s">
        <v>391</v>
      </c>
      <c r="E24" s="401">
        <v>25</v>
      </c>
      <c r="F24" s="956">
        <v>14.79</v>
      </c>
      <c r="G24" s="403">
        <f t="shared" si="0"/>
        <v>369.75</v>
      </c>
      <c r="H24" s="232"/>
    </row>
    <row r="25" spans="1:8" ht="29.25" customHeight="1">
      <c r="A25" s="427" t="s">
        <v>2840</v>
      </c>
      <c r="B25" s="399" t="s">
        <v>2841</v>
      </c>
      <c r="C25" s="367" t="s">
        <v>87</v>
      </c>
      <c r="D25" s="367" t="s">
        <v>391</v>
      </c>
      <c r="E25" s="401">
        <v>0.25</v>
      </c>
      <c r="F25" s="956">
        <v>30</v>
      </c>
      <c r="G25" s="403">
        <f t="shared" si="0"/>
        <v>7.5</v>
      </c>
      <c r="H25" s="232"/>
    </row>
    <row r="26" spans="1:8" ht="24.75" customHeight="1">
      <c r="A26" s="427" t="s">
        <v>2843</v>
      </c>
      <c r="B26" s="399" t="s">
        <v>2842</v>
      </c>
      <c r="C26" s="367" t="s">
        <v>87</v>
      </c>
      <c r="D26" s="367" t="s">
        <v>12</v>
      </c>
      <c r="E26" s="401">
        <v>1</v>
      </c>
      <c r="F26" s="957">
        <v>297.91000000000003</v>
      </c>
      <c r="G26" s="403">
        <f t="shared" si="0"/>
        <v>297.91000000000003</v>
      </c>
      <c r="H26" s="232"/>
    </row>
    <row r="27" spans="1:8" ht="15" customHeight="1">
      <c r="A27" s="232"/>
      <c r="B27" s="232"/>
      <c r="C27" s="405"/>
      <c r="D27" s="405"/>
      <c r="E27" s="405"/>
      <c r="F27" s="432" t="s">
        <v>90</v>
      </c>
      <c r="G27" s="429">
        <f>SUM(G7,G9,G11,G13,G15)</f>
        <v>498.22</v>
      </c>
      <c r="H27" s="232"/>
    </row>
    <row r="28" spans="1:8" ht="15" customHeight="1">
      <c r="A28" s="232"/>
      <c r="B28" s="232"/>
      <c r="C28" s="405"/>
      <c r="D28" s="405"/>
      <c r="E28" s="405"/>
      <c r="F28" s="432" t="s">
        <v>92</v>
      </c>
      <c r="G28" s="403">
        <f>SUM(G8,G10,G12,G14,G16,G17,G18,G19,G20,G21,G22,G23,G24,G25,G26)</f>
        <v>1506.5800000000002</v>
      </c>
      <c r="H28" s="232"/>
    </row>
    <row r="29" spans="1:8" ht="15" customHeight="1">
      <c r="A29" s="423" t="s">
        <v>94</v>
      </c>
      <c r="B29" s="232"/>
      <c r="C29" s="405"/>
      <c r="D29" s="405"/>
      <c r="E29" s="405"/>
      <c r="F29" s="432" t="s">
        <v>93</v>
      </c>
      <c r="G29" s="958">
        <f>SUM(G27:G28)</f>
        <v>2004.8000000000002</v>
      </c>
      <c r="H29" s="232"/>
    </row>
    <row r="30" spans="1:8" ht="15" customHeight="1">
      <c r="A30" s="424" t="s">
        <v>95</v>
      </c>
      <c r="B30" s="425">
        <f>G29</f>
        <v>2004.8000000000002</v>
      </c>
      <c r="C30" s="230"/>
      <c r="D30" s="230"/>
      <c r="E30" s="230"/>
      <c r="F30" s="230"/>
      <c r="G30" s="230"/>
      <c r="H30" s="230"/>
    </row>
    <row r="31" spans="1:8" ht="15" customHeight="1">
      <c r="A31" s="382" t="s">
        <v>2272</v>
      </c>
      <c r="B31" s="381"/>
      <c r="C31" s="232"/>
      <c r="D31" s="232"/>
      <c r="E31" s="232"/>
      <c r="F31" s="232"/>
      <c r="G31" s="232"/>
      <c r="H31" s="232"/>
    </row>
    <row r="32" spans="1:8" ht="15" customHeight="1">
      <c r="A32" s="443" t="s">
        <v>2311</v>
      </c>
      <c r="B32" s="381">
        <f>(B30+B31)*0.245</f>
        <v>491.17600000000004</v>
      </c>
      <c r="C32" s="232"/>
      <c r="D32" s="232"/>
      <c r="E32" s="232"/>
      <c r="F32" s="232"/>
      <c r="G32" s="232"/>
      <c r="H32" s="232"/>
    </row>
    <row r="33" spans="1:9" ht="15" customHeight="1">
      <c r="A33" s="426" t="s">
        <v>98</v>
      </c>
      <c r="B33" s="431">
        <f>SUM(B30:B32)</f>
        <v>2495.9760000000001</v>
      </c>
      <c r="C33" s="232"/>
      <c r="D33" s="232"/>
      <c r="E33" s="232"/>
      <c r="F33" s="232"/>
      <c r="G33" s="232"/>
      <c r="H33" s="391"/>
      <c r="I33" s="122" t="s">
        <v>2277</v>
      </c>
    </row>
    <row r="34" spans="1:9" ht="13.8">
      <c r="A34" s="362"/>
      <c r="B34" s="362"/>
      <c r="C34" s="368"/>
      <c r="D34" s="368"/>
      <c r="E34" s="368"/>
      <c r="F34" s="368"/>
      <c r="G34" s="368"/>
      <c r="H34" s="368"/>
    </row>
    <row r="35" spans="1:9" ht="13.8">
      <c r="A35" s="122" t="s">
        <v>1194</v>
      </c>
      <c r="B35" s="230"/>
      <c r="C35" s="230"/>
      <c r="D35" s="230"/>
      <c r="E35" s="230"/>
      <c r="F35" s="230"/>
      <c r="G35" s="230"/>
      <c r="H35" s="230"/>
    </row>
    <row r="36" spans="1:9" ht="15" customHeight="1">
      <c r="A36" s="723" t="s">
        <v>2424</v>
      </c>
      <c r="B36" s="489"/>
      <c r="C36" s="489"/>
      <c r="D36" s="489"/>
      <c r="E36" s="489"/>
      <c r="F36" s="489"/>
      <c r="G36" s="489"/>
      <c r="H36" s="489"/>
    </row>
    <row r="37" spans="1:9" ht="25.5" customHeight="1">
      <c r="A37" s="518" t="s">
        <v>1548</v>
      </c>
      <c r="B37" s="518" t="s">
        <v>2656</v>
      </c>
      <c r="C37" s="428" t="s">
        <v>1487</v>
      </c>
      <c r="D37" s="518"/>
      <c r="E37" s="518"/>
      <c r="G37" s="405"/>
      <c r="H37" s="405"/>
    </row>
    <row r="38" spans="1:9" ht="27" customHeight="1">
      <c r="A38" s="291" t="s">
        <v>30</v>
      </c>
      <c r="B38" s="292" t="s">
        <v>19</v>
      </c>
      <c r="C38" s="293" t="s">
        <v>81</v>
      </c>
      <c r="D38" s="293" t="s">
        <v>77</v>
      </c>
      <c r="E38" s="294" t="s">
        <v>82</v>
      </c>
      <c r="F38" s="295" t="s">
        <v>83</v>
      </c>
      <c r="G38" s="355" t="s">
        <v>84</v>
      </c>
      <c r="H38" s="231" t="s">
        <v>85</v>
      </c>
    </row>
    <row r="39" spans="1:9" ht="15" customHeight="1">
      <c r="A39" s="1254">
        <v>88262</v>
      </c>
      <c r="B39" s="1264" t="s">
        <v>134</v>
      </c>
      <c r="C39" s="293" t="s">
        <v>104</v>
      </c>
      <c r="D39" s="1258" t="s">
        <v>383</v>
      </c>
      <c r="E39" s="1260">
        <v>0.4</v>
      </c>
      <c r="F39" s="349">
        <f>'COMP AUX'!G87</f>
        <v>14.92</v>
      </c>
      <c r="G39" s="429">
        <f>TRUNC(E39*F39,2)</f>
        <v>5.96</v>
      </c>
      <c r="H39" s="231"/>
    </row>
    <row r="40" spans="1:9" ht="15" customHeight="1">
      <c r="A40" s="1255"/>
      <c r="B40" s="1265"/>
      <c r="C40" s="367" t="s">
        <v>87</v>
      </c>
      <c r="D40" s="1259"/>
      <c r="E40" s="1261"/>
      <c r="F40" s="430">
        <f>'COMP AUX'!G88</f>
        <v>4.75</v>
      </c>
      <c r="G40" s="403">
        <f>TRUNC(E39*F40,2)</f>
        <v>1.9</v>
      </c>
      <c r="H40" s="232"/>
    </row>
    <row r="41" spans="1:9" ht="15" customHeight="1">
      <c r="A41" s="1254">
        <v>88316</v>
      </c>
      <c r="B41" s="1256" t="s">
        <v>110</v>
      </c>
      <c r="C41" s="367" t="s">
        <v>104</v>
      </c>
      <c r="D41" s="1258" t="s">
        <v>383</v>
      </c>
      <c r="E41" s="1260">
        <v>0.4</v>
      </c>
      <c r="F41" s="430">
        <f>'COMP AUX'!G104</f>
        <v>11.18</v>
      </c>
      <c r="G41" s="429">
        <f>TRUNC(E41*F41,2)</f>
        <v>4.47</v>
      </c>
      <c r="H41" s="232"/>
    </row>
    <row r="42" spans="1:9" ht="15" customHeight="1">
      <c r="A42" s="1255"/>
      <c r="B42" s="1257"/>
      <c r="C42" s="367" t="s">
        <v>87</v>
      </c>
      <c r="D42" s="1259"/>
      <c r="E42" s="1261"/>
      <c r="F42" s="430">
        <f>'COMP AUX'!G105</f>
        <v>4.7300000000000004</v>
      </c>
      <c r="G42" s="403">
        <f>TRUNC(E41*F42,2)</f>
        <v>1.89</v>
      </c>
      <c r="H42" s="232"/>
    </row>
    <row r="43" spans="1:9" ht="29.25" customHeight="1">
      <c r="A43" s="427">
        <v>4509</v>
      </c>
      <c r="B43" s="399" t="s">
        <v>2651</v>
      </c>
      <c r="C43" s="367" t="s">
        <v>87</v>
      </c>
      <c r="D43" s="367" t="s">
        <v>4</v>
      </c>
      <c r="E43" s="401">
        <v>1.65</v>
      </c>
      <c r="F43" s="402">
        <v>2.2200000000000002</v>
      </c>
      <c r="G43" s="403">
        <f>TRUNC(E43*F43,2)</f>
        <v>3.66</v>
      </c>
      <c r="H43" s="232"/>
    </row>
    <row r="44" spans="1:9" ht="16.5" customHeight="1">
      <c r="A44" s="427">
        <v>5075</v>
      </c>
      <c r="B44" s="400" t="s">
        <v>2649</v>
      </c>
      <c r="C44" s="367" t="s">
        <v>87</v>
      </c>
      <c r="D44" s="367" t="s">
        <v>102</v>
      </c>
      <c r="E44" s="401">
        <v>0.05</v>
      </c>
      <c r="F44" s="402">
        <v>9.15</v>
      </c>
      <c r="G44" s="403">
        <f>TRUNC(E44*F44,2)</f>
        <v>0.45</v>
      </c>
      <c r="H44" s="232"/>
    </row>
    <row r="45" spans="1:9" ht="29.25" customHeight="1">
      <c r="A45" s="427">
        <v>4433</v>
      </c>
      <c r="B45" s="399" t="s">
        <v>2652</v>
      </c>
      <c r="C45" s="367" t="s">
        <v>87</v>
      </c>
      <c r="D45" s="367" t="s">
        <v>4</v>
      </c>
      <c r="E45" s="401">
        <v>1.6</v>
      </c>
      <c r="F45" s="402">
        <v>6.18</v>
      </c>
      <c r="G45" s="403">
        <f>TRUNC(E45*F45,2)</f>
        <v>9.8800000000000008</v>
      </c>
      <c r="H45" s="232"/>
    </row>
    <row r="46" spans="1:9" ht="24.75" customHeight="1">
      <c r="A46" s="427">
        <v>7243</v>
      </c>
      <c r="B46" s="399" t="s">
        <v>2653</v>
      </c>
      <c r="C46" s="367" t="s">
        <v>87</v>
      </c>
      <c r="D46" s="367" t="s">
        <v>12</v>
      </c>
      <c r="E46" s="401">
        <v>1.05</v>
      </c>
      <c r="F46" s="404">
        <v>27.2</v>
      </c>
      <c r="G46" s="403">
        <f>TRUNC(E46*F46,2)</f>
        <v>28.56</v>
      </c>
      <c r="H46" s="232"/>
    </row>
    <row r="47" spans="1:9" ht="15" customHeight="1">
      <c r="A47" s="232"/>
      <c r="B47" s="232"/>
      <c r="C47" s="405"/>
      <c r="D47" s="405"/>
      <c r="E47" s="405"/>
      <c r="F47" s="432" t="s">
        <v>90</v>
      </c>
      <c r="G47" s="429">
        <f>G39+G41</f>
        <v>10.43</v>
      </c>
      <c r="H47" s="232"/>
    </row>
    <row r="48" spans="1:9" ht="15" customHeight="1">
      <c r="A48" s="232"/>
      <c r="B48" s="232"/>
      <c r="C48" s="405"/>
      <c r="D48" s="405"/>
      <c r="E48" s="405"/>
      <c r="F48" s="432" t="s">
        <v>92</v>
      </c>
      <c r="G48" s="403">
        <f>G40+G42+G43+G44+G45+G46</f>
        <v>46.34</v>
      </c>
      <c r="H48" s="232"/>
    </row>
    <row r="49" spans="1:9" ht="15" customHeight="1">
      <c r="A49" s="423" t="s">
        <v>94</v>
      </c>
      <c r="B49" s="232"/>
      <c r="C49" s="405"/>
      <c r="D49" s="405"/>
      <c r="E49" s="405"/>
      <c r="F49" s="432" t="s">
        <v>93</v>
      </c>
      <c r="G49" s="433">
        <f>SUM(G47:G48)</f>
        <v>56.77</v>
      </c>
      <c r="H49" s="232"/>
    </row>
    <row r="50" spans="1:9" ht="15" customHeight="1">
      <c r="A50" s="424" t="s">
        <v>95</v>
      </c>
      <c r="B50" s="425">
        <f>G49</f>
        <v>56.77</v>
      </c>
      <c r="C50" s="230"/>
      <c r="D50" s="230"/>
      <c r="E50" s="230"/>
      <c r="F50" s="230"/>
      <c r="G50" s="230"/>
      <c r="H50" s="230"/>
    </row>
    <row r="51" spans="1:9" ht="15" customHeight="1">
      <c r="A51" s="382" t="s">
        <v>2272</v>
      </c>
      <c r="B51" s="381"/>
      <c r="C51" s="232"/>
      <c r="D51" s="232"/>
      <c r="E51" s="232"/>
      <c r="F51" s="232"/>
      <c r="G51" s="232"/>
      <c r="H51" s="232"/>
    </row>
    <row r="52" spans="1:9" ht="15" customHeight="1">
      <c r="A52" s="443" t="s">
        <v>2311</v>
      </c>
      <c r="B52" s="381">
        <f>(B50+B51)*0.245</f>
        <v>13.90865</v>
      </c>
      <c r="C52" s="232"/>
      <c r="D52" s="232"/>
      <c r="E52" s="232"/>
      <c r="F52" s="232"/>
      <c r="G52" s="232"/>
      <c r="H52" s="232"/>
    </row>
    <row r="53" spans="1:9" ht="15" customHeight="1">
      <c r="A53" s="426" t="s">
        <v>98</v>
      </c>
      <c r="B53" s="431">
        <f>SUM(B50:B52)</f>
        <v>70.678650000000005</v>
      </c>
      <c r="C53" s="232"/>
      <c r="D53" s="232"/>
      <c r="E53" s="232"/>
      <c r="F53" s="232"/>
      <c r="G53" s="232"/>
      <c r="H53" s="391"/>
      <c r="I53" s="122" t="s">
        <v>2277</v>
      </c>
    </row>
    <row r="54" spans="1:9" ht="13.8">
      <c r="A54" s="362"/>
      <c r="B54" s="362"/>
      <c r="C54" s="368"/>
      <c r="D54" s="368"/>
      <c r="E54" s="368"/>
      <c r="F54" s="368"/>
      <c r="G54" s="368"/>
      <c r="H54" s="368"/>
    </row>
    <row r="55" spans="1:9" ht="10.5" customHeight="1">
      <c r="A55" s="232"/>
      <c r="B55" s="232"/>
      <c r="C55" s="232"/>
      <c r="D55" s="232"/>
      <c r="E55" s="232"/>
      <c r="F55" s="232"/>
      <c r="G55" s="232"/>
      <c r="H55" s="232"/>
    </row>
    <row r="56" spans="1:9" ht="10.5" customHeight="1">
      <c r="A56" s="122" t="s">
        <v>1194</v>
      </c>
      <c r="B56" s="230"/>
      <c r="C56" s="230"/>
      <c r="D56" s="230"/>
      <c r="E56" s="230"/>
      <c r="F56" s="230"/>
      <c r="G56" s="230"/>
      <c r="H56" s="230"/>
    </row>
    <row r="57" spans="1:9" ht="12.75" customHeight="1">
      <c r="A57" s="517" t="s">
        <v>1491</v>
      </c>
      <c r="B57" s="488"/>
      <c r="C57" s="488"/>
      <c r="D57" s="488"/>
      <c r="E57" s="488"/>
      <c r="F57" s="488"/>
      <c r="G57" s="488"/>
      <c r="H57" s="488"/>
    </row>
    <row r="58" spans="1:9" ht="18" customHeight="1">
      <c r="A58" s="375" t="s">
        <v>1548</v>
      </c>
      <c r="B58" s="375" t="s">
        <v>1693</v>
      </c>
      <c r="C58" s="375" t="s">
        <v>1553</v>
      </c>
      <c r="D58" s="136"/>
      <c r="E58" s="136"/>
      <c r="F58" s="136"/>
      <c r="G58" s="136"/>
      <c r="H58" s="123"/>
    </row>
    <row r="59" spans="1:9" ht="22.5" customHeight="1">
      <c r="A59" s="291" t="s">
        <v>30</v>
      </c>
      <c r="B59" s="297" t="s">
        <v>19</v>
      </c>
      <c r="C59" s="293" t="s">
        <v>81</v>
      </c>
      <c r="D59" s="293" t="s">
        <v>77</v>
      </c>
      <c r="E59" s="294" t="s">
        <v>82</v>
      </c>
      <c r="F59" s="295" t="s">
        <v>83</v>
      </c>
      <c r="G59" s="355" t="s">
        <v>84</v>
      </c>
      <c r="H59" s="123"/>
    </row>
    <row r="60" spans="1:9" ht="27" customHeight="1">
      <c r="A60" s="392">
        <v>4417</v>
      </c>
      <c r="B60" s="374" t="s">
        <v>2958</v>
      </c>
      <c r="C60" s="369" t="s">
        <v>87</v>
      </c>
      <c r="D60" s="369" t="s">
        <v>4</v>
      </c>
      <c r="E60" s="377">
        <v>1</v>
      </c>
      <c r="F60" s="369">
        <v>3.12</v>
      </c>
      <c r="G60" s="370">
        <f>TRUNC(E60*F60,2)</f>
        <v>3.12</v>
      </c>
      <c r="H60" s="123"/>
    </row>
    <row r="61" spans="1:9" ht="35.25" customHeight="1">
      <c r="A61" s="392">
        <v>4491</v>
      </c>
      <c r="B61" s="374" t="s">
        <v>2960</v>
      </c>
      <c r="C61" s="369" t="s">
        <v>87</v>
      </c>
      <c r="D61" s="369" t="s">
        <v>4</v>
      </c>
      <c r="E61" s="377">
        <v>4</v>
      </c>
      <c r="F61" s="369">
        <v>5.58</v>
      </c>
      <c r="G61" s="370">
        <f>TRUNC(E61*F61,2)</f>
        <v>22.32</v>
      </c>
      <c r="H61" s="123"/>
    </row>
    <row r="62" spans="1:9" ht="24" customHeight="1">
      <c r="A62" s="935">
        <v>4813</v>
      </c>
      <c r="B62" s="374" t="s">
        <v>2959</v>
      </c>
      <c r="C62" s="369" t="s">
        <v>87</v>
      </c>
      <c r="D62" s="369" t="s">
        <v>100</v>
      </c>
      <c r="E62" s="377">
        <v>1</v>
      </c>
      <c r="F62" s="378">
        <v>330</v>
      </c>
      <c r="G62" s="376">
        <f>TRUNC(E62*F62,2)</f>
        <v>330</v>
      </c>
      <c r="H62" s="123"/>
    </row>
    <row r="63" spans="1:9" ht="16.5" customHeight="1">
      <c r="A63" s="935">
        <v>5075</v>
      </c>
      <c r="B63" s="374" t="s">
        <v>2649</v>
      </c>
      <c r="C63" s="369" t="s">
        <v>87</v>
      </c>
      <c r="D63" s="369" t="s">
        <v>102</v>
      </c>
      <c r="E63" s="377">
        <v>0.11</v>
      </c>
      <c r="F63" s="369">
        <v>11.18</v>
      </c>
      <c r="G63" s="376">
        <f>TRUNC(E63*F63,2)</f>
        <v>1.22</v>
      </c>
      <c r="H63" s="123"/>
    </row>
    <row r="64" spans="1:9" ht="15" customHeight="1">
      <c r="A64" s="1127">
        <v>88262</v>
      </c>
      <c r="B64" s="1177" t="s">
        <v>134</v>
      </c>
      <c r="C64" s="369" t="s">
        <v>104</v>
      </c>
      <c r="D64" s="1194" t="s">
        <v>383</v>
      </c>
      <c r="E64" s="1262">
        <v>1</v>
      </c>
      <c r="F64" s="961">
        <f>'COMP AUX'!G87</f>
        <v>14.92</v>
      </c>
      <c r="G64" s="370">
        <f>TRUNC(E64*F64,2)</f>
        <v>14.92</v>
      </c>
      <c r="H64" s="123"/>
    </row>
    <row r="65" spans="1:9" ht="15" customHeight="1">
      <c r="A65" s="1128"/>
      <c r="B65" s="1183"/>
      <c r="C65" s="369" t="s">
        <v>87</v>
      </c>
      <c r="D65" s="1195"/>
      <c r="E65" s="1263"/>
      <c r="F65" s="961">
        <f>'COMP AUX'!G88</f>
        <v>4.75</v>
      </c>
      <c r="G65" s="370">
        <f>TRUNC(E64*F65,2)</f>
        <v>4.75</v>
      </c>
      <c r="H65" s="123"/>
    </row>
    <row r="66" spans="1:9" ht="15" customHeight="1">
      <c r="A66" s="1127">
        <v>88316</v>
      </c>
      <c r="B66" s="1177" t="s">
        <v>110</v>
      </c>
      <c r="C66" s="369" t="s">
        <v>104</v>
      </c>
      <c r="D66" s="1194" t="s">
        <v>383</v>
      </c>
      <c r="E66" s="1262">
        <v>2</v>
      </c>
      <c r="F66" s="961">
        <f>'COMP AUX'!G104</f>
        <v>11.18</v>
      </c>
      <c r="G66" s="376">
        <f>TRUNC(E66*F66,2)</f>
        <v>22.36</v>
      </c>
      <c r="H66" s="123"/>
    </row>
    <row r="67" spans="1:9" ht="15" customHeight="1">
      <c r="A67" s="1128"/>
      <c r="B67" s="1183"/>
      <c r="C67" s="369" t="s">
        <v>87</v>
      </c>
      <c r="D67" s="1195"/>
      <c r="E67" s="1263"/>
      <c r="F67" s="961">
        <f>'COMP AUX'!G105</f>
        <v>4.7300000000000004</v>
      </c>
      <c r="G67" s="370">
        <f>TRUNC(E66*F67,2)</f>
        <v>9.4600000000000009</v>
      </c>
      <c r="H67" s="123"/>
    </row>
    <row r="68" spans="1:9" ht="18" customHeight="1">
      <c r="A68" s="1127">
        <v>94962</v>
      </c>
      <c r="B68" s="1177" t="s">
        <v>1500</v>
      </c>
      <c r="C68" s="369" t="s">
        <v>104</v>
      </c>
      <c r="D68" s="1194" t="s">
        <v>112</v>
      </c>
      <c r="E68" s="1262">
        <v>0.01</v>
      </c>
      <c r="F68" s="961">
        <v>59.45</v>
      </c>
      <c r="G68" s="376">
        <f>TRUNC(E68*F68,2)</f>
        <v>0.59</v>
      </c>
      <c r="H68" s="123"/>
    </row>
    <row r="69" spans="1:9" ht="18" customHeight="1">
      <c r="A69" s="1128"/>
      <c r="B69" s="1183"/>
      <c r="C69" s="369" t="s">
        <v>87</v>
      </c>
      <c r="D69" s="1195"/>
      <c r="E69" s="1263"/>
      <c r="F69" s="961">
        <v>201.8</v>
      </c>
      <c r="G69" s="376">
        <f>TRUNC(E68*F69,2)</f>
        <v>2.0099999999999998</v>
      </c>
      <c r="H69" s="123"/>
    </row>
    <row r="70" spans="1:9" ht="15" customHeight="1">
      <c r="A70" s="136"/>
      <c r="B70" s="136"/>
      <c r="C70" s="371"/>
      <c r="D70" s="371"/>
      <c r="E70" s="371"/>
      <c r="F70" s="372" t="s">
        <v>90</v>
      </c>
      <c r="G70" s="379">
        <f>G66+G64+G68</f>
        <v>37.870000000000005</v>
      </c>
      <c r="H70" s="123"/>
    </row>
    <row r="71" spans="1:9" ht="15" customHeight="1">
      <c r="A71" s="136"/>
      <c r="B71" s="136"/>
      <c r="C71" s="371"/>
      <c r="D71" s="371"/>
      <c r="E71" s="371"/>
      <c r="F71" s="372" t="s">
        <v>92</v>
      </c>
      <c r="G71" s="379">
        <f>G60+G61+G62+G63+G65+G67+G69</f>
        <v>372.88</v>
      </c>
      <c r="H71" s="123"/>
    </row>
    <row r="72" spans="1:9" ht="15" customHeight="1">
      <c r="A72" s="375" t="s">
        <v>94</v>
      </c>
      <c r="B72" s="136"/>
      <c r="C72" s="371"/>
      <c r="D72" s="371"/>
      <c r="E72" s="371"/>
      <c r="F72" s="372" t="s">
        <v>93</v>
      </c>
      <c r="G72" s="988">
        <f>SUM(G70:G71)</f>
        <v>410.75</v>
      </c>
      <c r="H72" s="123"/>
    </row>
    <row r="73" spans="1:9" ht="15" customHeight="1">
      <c r="A73" s="382" t="s">
        <v>95</v>
      </c>
      <c r="B73" s="380">
        <f>G72</f>
        <v>410.75</v>
      </c>
      <c r="C73" s="136"/>
      <c r="D73" s="136"/>
      <c r="E73" s="136"/>
      <c r="F73" s="139"/>
      <c r="G73" s="139"/>
      <c r="H73" s="123"/>
    </row>
    <row r="74" spans="1:9" ht="15" customHeight="1">
      <c r="A74" s="382" t="s">
        <v>2272</v>
      </c>
      <c r="B74" s="381"/>
      <c r="C74" s="136"/>
      <c r="D74" s="136"/>
      <c r="E74" s="136"/>
      <c r="F74" s="139"/>
      <c r="G74" s="139"/>
    </row>
    <row r="75" spans="1:9" ht="15" customHeight="1">
      <c r="A75" s="443" t="s">
        <v>2311</v>
      </c>
      <c r="B75" s="381">
        <f>(B73+B74)*0.245</f>
        <v>100.63374999999999</v>
      </c>
      <c r="C75" s="136"/>
      <c r="D75" s="136"/>
      <c r="E75" s="136"/>
      <c r="F75" s="139"/>
      <c r="G75" s="139"/>
    </row>
    <row r="76" spans="1:9" ht="15" customHeight="1">
      <c r="A76" s="382" t="s">
        <v>98</v>
      </c>
      <c r="B76" s="383">
        <f>SUM(B73:B75)</f>
        <v>511.38374999999996</v>
      </c>
      <c r="C76" s="136"/>
      <c r="D76" s="136"/>
      <c r="E76" s="136"/>
      <c r="F76" s="139"/>
      <c r="G76" s="139"/>
      <c r="H76" s="394"/>
      <c r="I76" s="122" t="s">
        <v>2277</v>
      </c>
    </row>
    <row r="77" spans="1:9" ht="15" customHeight="1">
      <c r="A77" s="1247"/>
      <c r="B77" s="1248"/>
      <c r="C77" s="1248"/>
      <c r="D77" s="1248"/>
      <c r="E77" s="1248"/>
      <c r="F77" s="1248"/>
      <c r="G77" s="1248"/>
      <c r="H77" s="1248"/>
    </row>
    <row r="79" spans="1:9" ht="13.8">
      <c r="A79" s="826" t="s">
        <v>2710</v>
      </c>
      <c r="B79" s="230"/>
      <c r="C79" s="230"/>
      <c r="D79" s="230"/>
      <c r="E79" s="230"/>
      <c r="F79" s="230"/>
      <c r="G79" s="230"/>
      <c r="H79" s="230"/>
    </row>
    <row r="80" spans="1:9">
      <c r="A80" s="487" t="s">
        <v>2826</v>
      </c>
      <c r="B80" s="387"/>
      <c r="C80" s="387"/>
      <c r="D80" s="387"/>
      <c r="E80" s="387"/>
      <c r="F80" s="387"/>
      <c r="G80" s="387"/>
      <c r="H80" s="387"/>
    </row>
    <row r="81" spans="1:9" ht="43.5" customHeight="1">
      <c r="A81" s="515" t="s">
        <v>1549</v>
      </c>
      <c r="B81" s="1175" t="s">
        <v>2825</v>
      </c>
      <c r="C81" s="1175"/>
      <c r="D81" s="1175"/>
      <c r="E81" s="389" t="s">
        <v>1492</v>
      </c>
      <c r="G81" s="387"/>
      <c r="H81" s="387"/>
    </row>
    <row r="82" spans="1:9" ht="26.25" customHeight="1">
      <c r="A82" s="309" t="s">
        <v>30</v>
      </c>
      <c r="B82" s="354" t="s">
        <v>19</v>
      </c>
      <c r="C82" s="293" t="s">
        <v>81</v>
      </c>
      <c r="D82" s="294" t="s">
        <v>77</v>
      </c>
      <c r="E82" s="294" t="s">
        <v>82</v>
      </c>
      <c r="F82" s="295" t="s">
        <v>83</v>
      </c>
      <c r="G82" s="355" t="s">
        <v>84</v>
      </c>
      <c r="H82" s="387"/>
    </row>
    <row r="83" spans="1:9" ht="36.75" customHeight="1">
      <c r="A83" s="309">
        <v>10775</v>
      </c>
      <c r="B83" s="297" t="s">
        <v>1493</v>
      </c>
      <c r="C83" s="293" t="s">
        <v>1260</v>
      </c>
      <c r="D83" s="294" t="s">
        <v>1492</v>
      </c>
      <c r="E83" s="311">
        <v>1</v>
      </c>
      <c r="F83" s="825">
        <v>522</v>
      </c>
      <c r="G83" s="312">
        <f>TRUNC(E83*F83,2)</f>
        <v>522</v>
      </c>
    </row>
    <row r="84" spans="1:9" ht="15" customHeight="1">
      <c r="F84" s="360" t="s">
        <v>90</v>
      </c>
      <c r="G84" s="322"/>
    </row>
    <row r="85" spans="1:9" ht="15" customHeight="1">
      <c r="F85" s="384" t="s">
        <v>92</v>
      </c>
      <c r="G85" s="312">
        <f>G83</f>
        <v>522</v>
      </c>
    </row>
    <row r="86" spans="1:9" ht="15" customHeight="1">
      <c r="A86" s="122" t="s">
        <v>94</v>
      </c>
      <c r="F86" s="384" t="s">
        <v>93</v>
      </c>
      <c r="G86" s="820">
        <f>SUM(G84:G85)</f>
        <v>522</v>
      </c>
    </row>
    <row r="87" spans="1:9" ht="15" customHeight="1">
      <c r="A87" s="300" t="s">
        <v>95</v>
      </c>
      <c r="B87" s="385">
        <f>G86</f>
        <v>522</v>
      </c>
    </row>
    <row r="88" spans="1:9" ht="15" customHeight="1">
      <c r="A88" s="382" t="s">
        <v>2272</v>
      </c>
      <c r="B88" s="381"/>
    </row>
    <row r="89" spans="1:9" ht="15" customHeight="1">
      <c r="A89" s="443" t="s">
        <v>2311</v>
      </c>
      <c r="B89" s="381">
        <f>(B87+B88)*0.245</f>
        <v>127.89</v>
      </c>
    </row>
    <row r="90" spans="1:9" ht="15" customHeight="1">
      <c r="A90" s="300" t="s">
        <v>98</v>
      </c>
      <c r="B90" s="386">
        <f>SUM(B87:B89)</f>
        <v>649.89</v>
      </c>
      <c r="H90" s="394"/>
      <c r="I90" s="122" t="s">
        <v>2277</v>
      </c>
    </row>
    <row r="91" spans="1:9">
      <c r="A91" s="362"/>
      <c r="B91" s="362"/>
      <c r="C91" s="362"/>
      <c r="D91" s="362"/>
      <c r="E91" s="362"/>
      <c r="F91" s="362"/>
      <c r="G91" s="362"/>
      <c r="H91" s="362"/>
    </row>
    <row r="93" spans="1:9" ht="13.8">
      <c r="A93" s="826" t="s">
        <v>2710</v>
      </c>
      <c r="B93" s="230"/>
      <c r="C93" s="230"/>
      <c r="D93" s="230"/>
      <c r="E93" s="230"/>
      <c r="F93" s="230"/>
      <c r="G93" s="230"/>
      <c r="H93" s="230"/>
    </row>
    <row r="94" spans="1:9">
      <c r="A94" s="487" t="s">
        <v>2423</v>
      </c>
      <c r="B94" s="387"/>
      <c r="C94" s="387"/>
      <c r="D94" s="387"/>
      <c r="E94" s="387"/>
      <c r="F94" s="387"/>
      <c r="G94" s="387"/>
      <c r="H94" s="387"/>
    </row>
    <row r="95" spans="1:9" ht="43.5" customHeight="1">
      <c r="A95" s="515" t="s">
        <v>1549</v>
      </c>
      <c r="B95" s="1175" t="s">
        <v>1493</v>
      </c>
      <c r="C95" s="1175"/>
      <c r="D95" s="1175"/>
      <c r="E95" s="389" t="s">
        <v>1492</v>
      </c>
      <c r="G95" s="387"/>
      <c r="H95" s="387"/>
    </row>
    <row r="96" spans="1:9" ht="26.25" customHeight="1">
      <c r="A96" s="874" t="s">
        <v>30</v>
      </c>
      <c r="B96" s="354" t="s">
        <v>19</v>
      </c>
      <c r="C96" s="293" t="s">
        <v>81</v>
      </c>
      <c r="D96" s="871" t="s">
        <v>77</v>
      </c>
      <c r="E96" s="871" t="s">
        <v>82</v>
      </c>
      <c r="F96" s="870" t="s">
        <v>83</v>
      </c>
      <c r="G96" s="355" t="s">
        <v>84</v>
      </c>
      <c r="H96" s="387"/>
    </row>
    <row r="97" spans="1:9" ht="36.75" customHeight="1">
      <c r="A97" s="874">
        <v>10776</v>
      </c>
      <c r="B97" s="875" t="s">
        <v>1493</v>
      </c>
      <c r="C97" s="293" t="s">
        <v>1260</v>
      </c>
      <c r="D97" s="871" t="s">
        <v>1492</v>
      </c>
      <c r="E97" s="873">
        <v>1</v>
      </c>
      <c r="F97" s="298">
        <v>408.59</v>
      </c>
      <c r="G97" s="312">
        <f>TRUNC(E97*F97,2)</f>
        <v>408.59</v>
      </c>
    </row>
    <row r="98" spans="1:9" ht="15" customHeight="1">
      <c r="F98" s="360" t="s">
        <v>90</v>
      </c>
      <c r="G98" s="322"/>
    </row>
    <row r="99" spans="1:9" ht="15" customHeight="1">
      <c r="F99" s="384" t="s">
        <v>92</v>
      </c>
      <c r="G99" s="312">
        <f>G97</f>
        <v>408.59</v>
      </c>
    </row>
    <row r="100" spans="1:9" ht="15" customHeight="1">
      <c r="A100" s="122" t="s">
        <v>94</v>
      </c>
      <c r="F100" s="384" t="s">
        <v>93</v>
      </c>
      <c r="G100" s="820">
        <f>SUM(G98:G99)</f>
        <v>408.59</v>
      </c>
    </row>
    <row r="101" spans="1:9" ht="15" customHeight="1">
      <c r="A101" s="300" t="s">
        <v>95</v>
      </c>
      <c r="B101" s="385">
        <f>G100</f>
        <v>408.59</v>
      </c>
    </row>
    <row r="102" spans="1:9" ht="15" customHeight="1">
      <c r="A102" s="382" t="s">
        <v>2272</v>
      </c>
      <c r="B102" s="381"/>
    </row>
    <row r="103" spans="1:9" ht="15" customHeight="1">
      <c r="A103" s="443" t="s">
        <v>2311</v>
      </c>
      <c r="B103" s="381">
        <f>(B101+B102)*0.245</f>
        <v>100.10454999999999</v>
      </c>
    </row>
    <row r="104" spans="1:9" ht="15" customHeight="1">
      <c r="A104" s="300" t="s">
        <v>98</v>
      </c>
      <c r="B104" s="386">
        <f>SUM(B101:B103)</f>
        <v>508.69454999999994</v>
      </c>
      <c r="H104" s="394"/>
      <c r="I104" s="122" t="s">
        <v>2277</v>
      </c>
    </row>
    <row r="105" spans="1:9">
      <c r="A105" s="362"/>
      <c r="B105" s="362"/>
      <c r="C105" s="362"/>
      <c r="D105" s="362"/>
      <c r="E105" s="362"/>
      <c r="F105" s="362"/>
      <c r="G105" s="362"/>
      <c r="H105" s="362"/>
    </row>
    <row r="106" spans="1:9">
      <c r="A106" s="362"/>
      <c r="B106" s="362"/>
      <c r="C106" s="362"/>
      <c r="D106" s="362"/>
      <c r="E106" s="362"/>
      <c r="F106" s="362"/>
      <c r="G106" s="362"/>
      <c r="H106" s="362"/>
    </row>
    <row r="108" spans="1:9" ht="13.8">
      <c r="A108" s="826" t="s">
        <v>2710</v>
      </c>
      <c r="B108" s="230"/>
      <c r="C108" s="230"/>
      <c r="D108" s="230"/>
      <c r="E108" s="230"/>
      <c r="F108" s="230"/>
      <c r="G108" s="230"/>
      <c r="H108" s="230"/>
    </row>
    <row r="109" spans="1:9">
      <c r="A109" s="487" t="s">
        <v>2827</v>
      </c>
      <c r="B109" s="387"/>
      <c r="C109" s="387"/>
      <c r="D109" s="387"/>
      <c r="E109" s="387"/>
      <c r="F109" s="387"/>
      <c r="G109" s="387"/>
      <c r="H109" s="387"/>
    </row>
    <row r="110" spans="1:9" ht="43.5" customHeight="1">
      <c r="A110" s="515" t="s">
        <v>1549</v>
      </c>
      <c r="B110" s="1175" t="s">
        <v>2828</v>
      </c>
      <c r="C110" s="1175"/>
      <c r="D110" s="1175"/>
      <c r="E110" s="389" t="s">
        <v>1492</v>
      </c>
      <c r="G110" s="387"/>
      <c r="H110" s="387"/>
    </row>
    <row r="111" spans="1:9" ht="26.25" customHeight="1">
      <c r="A111" s="874" t="s">
        <v>30</v>
      </c>
      <c r="B111" s="354" t="s">
        <v>19</v>
      </c>
      <c r="C111" s="293" t="s">
        <v>81</v>
      </c>
      <c r="D111" s="871" t="s">
        <v>77</v>
      </c>
      <c r="E111" s="871" t="s">
        <v>82</v>
      </c>
      <c r="F111" s="870" t="s">
        <v>83</v>
      </c>
      <c r="G111" s="355" t="s">
        <v>84</v>
      </c>
      <c r="H111" s="387"/>
    </row>
    <row r="112" spans="1:9" ht="36.75" customHeight="1">
      <c r="A112" s="874">
        <v>10777</v>
      </c>
      <c r="B112" s="875" t="s">
        <v>2828</v>
      </c>
      <c r="C112" s="293" t="s">
        <v>1260</v>
      </c>
      <c r="D112" s="871" t="s">
        <v>1492</v>
      </c>
      <c r="E112" s="873">
        <v>1</v>
      </c>
      <c r="F112" s="825">
        <v>592.67999999999995</v>
      </c>
      <c r="G112" s="312">
        <f>TRUNC(E112*F112,2)</f>
        <v>592.67999999999995</v>
      </c>
    </row>
    <row r="113" spans="1:9" ht="15" customHeight="1">
      <c r="F113" s="360" t="s">
        <v>90</v>
      </c>
      <c r="G113" s="322"/>
    </row>
    <row r="114" spans="1:9" ht="15" customHeight="1">
      <c r="F114" s="384" t="s">
        <v>92</v>
      </c>
      <c r="G114" s="312">
        <f>G112</f>
        <v>592.67999999999995</v>
      </c>
    </row>
    <row r="115" spans="1:9" ht="15" customHeight="1">
      <c r="A115" s="122" t="s">
        <v>94</v>
      </c>
      <c r="F115" s="384" t="s">
        <v>93</v>
      </c>
      <c r="G115" s="820">
        <f>SUM(G113:G114)</f>
        <v>592.67999999999995</v>
      </c>
    </row>
    <row r="116" spans="1:9" ht="15" customHeight="1">
      <c r="A116" s="300" t="s">
        <v>95</v>
      </c>
      <c r="B116" s="385">
        <f>G115</f>
        <v>592.67999999999995</v>
      </c>
    </row>
    <row r="117" spans="1:9" ht="15" customHeight="1">
      <c r="A117" s="382" t="s">
        <v>2272</v>
      </c>
      <c r="B117" s="381"/>
    </row>
    <row r="118" spans="1:9" ht="15" customHeight="1">
      <c r="A118" s="443" t="s">
        <v>2311</v>
      </c>
      <c r="B118" s="381">
        <f>(B116+B117)*0.245</f>
        <v>145.20659999999998</v>
      </c>
    </row>
    <row r="119" spans="1:9" ht="15" customHeight="1">
      <c r="A119" s="300" t="s">
        <v>98</v>
      </c>
      <c r="B119" s="386">
        <f>SUM(B116:B118)</f>
        <v>737.88659999999993</v>
      </c>
      <c r="H119" s="394"/>
      <c r="I119" s="122" t="s">
        <v>2277</v>
      </c>
    </row>
    <row r="120" spans="1:9">
      <c r="A120" s="362"/>
      <c r="B120" s="362"/>
      <c r="C120" s="362"/>
      <c r="D120" s="362"/>
      <c r="E120" s="362"/>
      <c r="F120" s="362"/>
      <c r="G120" s="362"/>
      <c r="H120" s="362"/>
    </row>
    <row r="122" spans="1:9" ht="13.8">
      <c r="A122" s="122" t="s">
        <v>1287</v>
      </c>
      <c r="B122" s="230"/>
      <c r="C122" s="230"/>
      <c r="D122" s="230"/>
      <c r="E122" s="230"/>
      <c r="F122" s="230"/>
      <c r="G122" s="230"/>
      <c r="H122" s="230"/>
    </row>
    <row r="123" spans="1:9">
      <c r="A123" s="487" t="s">
        <v>2088</v>
      </c>
      <c r="B123" s="387"/>
      <c r="C123" s="387"/>
      <c r="D123" s="387"/>
      <c r="E123" s="387"/>
      <c r="F123" s="387"/>
      <c r="G123" s="387"/>
      <c r="H123" s="387"/>
    </row>
    <row r="124" spans="1:9" ht="23.25" customHeight="1">
      <c r="A124" s="515" t="s">
        <v>1549</v>
      </c>
      <c r="B124" s="516" t="s">
        <v>2087</v>
      </c>
      <c r="C124" s="389" t="s">
        <v>1452</v>
      </c>
      <c r="D124" s="516"/>
      <c r="G124" s="387"/>
      <c r="H124" s="387"/>
    </row>
    <row r="125" spans="1:9" ht="27" customHeight="1">
      <c r="A125" s="309" t="s">
        <v>30</v>
      </c>
      <c r="B125" s="354" t="s">
        <v>19</v>
      </c>
      <c r="C125" s="293" t="s">
        <v>81</v>
      </c>
      <c r="D125" s="294" t="s">
        <v>77</v>
      </c>
      <c r="E125" s="294" t="s">
        <v>82</v>
      </c>
      <c r="F125" s="295" t="s">
        <v>83</v>
      </c>
      <c r="G125" s="355" t="s">
        <v>84</v>
      </c>
      <c r="H125" s="387"/>
    </row>
    <row r="126" spans="1:9" ht="20.399999999999999">
      <c r="A126" s="309" t="s">
        <v>2089</v>
      </c>
      <c r="B126" s="297" t="s">
        <v>2090</v>
      </c>
      <c r="C126" s="293" t="s">
        <v>87</v>
      </c>
      <c r="D126" s="294" t="s">
        <v>381</v>
      </c>
      <c r="E126" s="311">
        <v>0.13333329999999999</v>
      </c>
      <c r="F126" s="295">
        <v>50.94</v>
      </c>
      <c r="G126" s="358">
        <f t="shared" ref="G126:G143" si="1">TRUNC(E126*F126,2)</f>
        <v>6.79</v>
      </c>
      <c r="H126" s="387"/>
    </row>
    <row r="127" spans="1:9" ht="20.399999999999999">
      <c r="A127" s="309" t="s">
        <v>2091</v>
      </c>
      <c r="B127" s="297" t="s">
        <v>2092</v>
      </c>
      <c r="C127" s="293" t="s">
        <v>87</v>
      </c>
      <c r="D127" s="294" t="s">
        <v>381</v>
      </c>
      <c r="E127" s="311">
        <v>2</v>
      </c>
      <c r="F127" s="295">
        <v>19.38</v>
      </c>
      <c r="G127" s="358">
        <f t="shared" si="1"/>
        <v>38.76</v>
      </c>
      <c r="H127" s="387"/>
    </row>
    <row r="128" spans="1:9" ht="14.1" customHeight="1">
      <c r="A128" s="309" t="s">
        <v>2093</v>
      </c>
      <c r="B128" s="297" t="s">
        <v>2094</v>
      </c>
      <c r="C128" s="293" t="s">
        <v>87</v>
      </c>
      <c r="D128" s="294" t="s">
        <v>391</v>
      </c>
      <c r="E128" s="311">
        <v>3</v>
      </c>
      <c r="F128" s="295">
        <v>8.0399999999999991</v>
      </c>
      <c r="G128" s="358">
        <f t="shared" si="1"/>
        <v>24.12</v>
      </c>
      <c r="H128" s="387"/>
    </row>
    <row r="129" spans="1:8" ht="20.399999999999999">
      <c r="A129" s="309" t="s">
        <v>2095</v>
      </c>
      <c r="B129" s="297" t="s">
        <v>2096</v>
      </c>
      <c r="C129" s="293" t="s">
        <v>87</v>
      </c>
      <c r="D129" s="294" t="s">
        <v>391</v>
      </c>
      <c r="E129" s="311">
        <v>27</v>
      </c>
      <c r="F129" s="295">
        <v>4.51</v>
      </c>
      <c r="G129" s="358">
        <f t="shared" si="1"/>
        <v>121.77</v>
      </c>
      <c r="H129" s="387"/>
    </row>
    <row r="130" spans="1:8" ht="20.399999999999999">
      <c r="A130" s="309" t="s">
        <v>2097</v>
      </c>
      <c r="B130" s="297" t="s">
        <v>2098</v>
      </c>
      <c r="C130" s="293" t="s">
        <v>87</v>
      </c>
      <c r="D130" s="294" t="s">
        <v>381</v>
      </c>
      <c r="E130" s="311">
        <v>1</v>
      </c>
      <c r="F130" s="349">
        <v>149.5</v>
      </c>
      <c r="G130" s="358">
        <f t="shared" si="1"/>
        <v>149.5</v>
      </c>
      <c r="H130" s="387"/>
    </row>
    <row r="131" spans="1:8" ht="20.399999999999999">
      <c r="A131" s="309" t="s">
        <v>2099</v>
      </c>
      <c r="B131" s="297" t="s">
        <v>2100</v>
      </c>
      <c r="C131" s="293" t="s">
        <v>87</v>
      </c>
      <c r="D131" s="294" t="s">
        <v>381</v>
      </c>
      <c r="E131" s="311">
        <v>2</v>
      </c>
      <c r="F131" s="349">
        <v>64.3</v>
      </c>
      <c r="G131" s="358">
        <f t="shared" si="1"/>
        <v>128.6</v>
      </c>
      <c r="H131" s="387"/>
    </row>
    <row r="132" spans="1:8" ht="20.399999999999999">
      <c r="A132" s="309" t="s">
        <v>2101</v>
      </c>
      <c r="B132" s="297" t="s">
        <v>2102</v>
      </c>
      <c r="C132" s="293" t="s">
        <v>87</v>
      </c>
      <c r="D132" s="294" t="s">
        <v>381</v>
      </c>
      <c r="E132" s="311">
        <v>8</v>
      </c>
      <c r="F132" s="349">
        <v>4</v>
      </c>
      <c r="G132" s="358">
        <f t="shared" si="1"/>
        <v>32</v>
      </c>
      <c r="H132" s="387"/>
    </row>
    <row r="133" spans="1:8" ht="14.1" customHeight="1">
      <c r="A133" s="309" t="s">
        <v>2103</v>
      </c>
      <c r="B133" s="297" t="s">
        <v>427</v>
      </c>
      <c r="C133" s="293" t="s">
        <v>87</v>
      </c>
      <c r="D133" s="294" t="s">
        <v>381</v>
      </c>
      <c r="E133" s="311">
        <v>4</v>
      </c>
      <c r="F133" s="295">
        <v>1.1599999999999999</v>
      </c>
      <c r="G133" s="358">
        <f t="shared" si="1"/>
        <v>4.6399999999999997</v>
      </c>
      <c r="H133" s="387"/>
    </row>
    <row r="134" spans="1:8" ht="20.399999999999999">
      <c r="A134" s="309" t="s">
        <v>2104</v>
      </c>
      <c r="B134" s="297" t="s">
        <v>2105</v>
      </c>
      <c r="C134" s="293" t="s">
        <v>87</v>
      </c>
      <c r="D134" s="294" t="s">
        <v>381</v>
      </c>
      <c r="E134" s="311">
        <v>1</v>
      </c>
      <c r="F134" s="295">
        <v>57.39</v>
      </c>
      <c r="G134" s="358">
        <f t="shared" si="1"/>
        <v>57.39</v>
      </c>
      <c r="H134" s="387"/>
    </row>
    <row r="135" spans="1:8" ht="14.1" customHeight="1">
      <c r="A135" s="309" t="s">
        <v>2106</v>
      </c>
      <c r="B135" s="297" t="s">
        <v>421</v>
      </c>
      <c r="C135" s="293" t="s">
        <v>87</v>
      </c>
      <c r="D135" s="294" t="s">
        <v>391</v>
      </c>
      <c r="E135" s="311">
        <v>8</v>
      </c>
      <c r="F135" s="295">
        <v>3.23</v>
      </c>
      <c r="G135" s="358">
        <f t="shared" si="1"/>
        <v>25.84</v>
      </c>
      <c r="H135" s="387"/>
    </row>
    <row r="136" spans="1:8" ht="20.399999999999999">
      <c r="A136" s="309" t="s">
        <v>2107</v>
      </c>
      <c r="B136" s="297" t="s">
        <v>2108</v>
      </c>
      <c r="C136" s="293" t="s">
        <v>87</v>
      </c>
      <c r="D136" s="294" t="s">
        <v>391</v>
      </c>
      <c r="E136" s="311">
        <v>7.96</v>
      </c>
      <c r="F136" s="295">
        <v>50.23</v>
      </c>
      <c r="G136" s="358">
        <f t="shared" si="1"/>
        <v>399.83</v>
      </c>
      <c r="H136" s="387"/>
    </row>
    <row r="137" spans="1:8" ht="20.399999999999999">
      <c r="A137" s="309" t="s">
        <v>1102</v>
      </c>
      <c r="B137" s="297" t="s">
        <v>1103</v>
      </c>
      <c r="C137" s="293" t="s">
        <v>87</v>
      </c>
      <c r="D137" s="294" t="s">
        <v>381</v>
      </c>
      <c r="E137" s="311">
        <v>1</v>
      </c>
      <c r="F137" s="295">
        <v>30.88</v>
      </c>
      <c r="G137" s="358">
        <f t="shared" si="1"/>
        <v>30.88</v>
      </c>
      <c r="H137" s="387"/>
    </row>
    <row r="138" spans="1:8" ht="30.6">
      <c r="A138" s="309" t="s">
        <v>2109</v>
      </c>
      <c r="B138" s="297" t="s">
        <v>2110</v>
      </c>
      <c r="C138" s="293" t="s">
        <v>87</v>
      </c>
      <c r="D138" s="294" t="s">
        <v>381</v>
      </c>
      <c r="E138" s="311">
        <v>2</v>
      </c>
      <c r="F138" s="295">
        <v>5.38</v>
      </c>
      <c r="G138" s="358">
        <f t="shared" si="1"/>
        <v>10.76</v>
      </c>
      <c r="H138" s="387"/>
    </row>
    <row r="139" spans="1:8" ht="20.399999999999999">
      <c r="A139" s="309" t="s">
        <v>2111</v>
      </c>
      <c r="B139" s="297" t="s">
        <v>2112</v>
      </c>
      <c r="C139" s="293" t="s">
        <v>87</v>
      </c>
      <c r="D139" s="294" t="s">
        <v>381</v>
      </c>
      <c r="E139" s="311">
        <v>2</v>
      </c>
      <c r="F139" s="295">
        <v>5.26</v>
      </c>
      <c r="G139" s="358">
        <f t="shared" si="1"/>
        <v>10.52</v>
      </c>
      <c r="H139" s="387"/>
    </row>
    <row r="140" spans="1:8" ht="20.399999999999999">
      <c r="A140" s="309" t="s">
        <v>2113</v>
      </c>
      <c r="B140" s="297" t="s">
        <v>2114</v>
      </c>
      <c r="C140" s="293" t="s">
        <v>87</v>
      </c>
      <c r="D140" s="294" t="s">
        <v>381</v>
      </c>
      <c r="E140" s="311">
        <v>2</v>
      </c>
      <c r="F140" s="349">
        <v>3.3</v>
      </c>
      <c r="G140" s="358">
        <f t="shared" si="1"/>
        <v>6.6</v>
      </c>
      <c r="H140" s="387"/>
    </row>
    <row r="141" spans="1:8" ht="14.1" customHeight="1">
      <c r="A141" s="309" t="s">
        <v>2115</v>
      </c>
      <c r="B141" s="297" t="s">
        <v>2116</v>
      </c>
      <c r="C141" s="293" t="s">
        <v>87</v>
      </c>
      <c r="D141" s="294" t="s">
        <v>381</v>
      </c>
      <c r="E141" s="311">
        <v>2</v>
      </c>
      <c r="F141" s="295">
        <v>0.65</v>
      </c>
      <c r="G141" s="358">
        <f t="shared" si="1"/>
        <v>1.3</v>
      </c>
      <c r="H141" s="387"/>
    </row>
    <row r="142" spans="1:8" ht="14.1" customHeight="1">
      <c r="A142" s="309" t="s">
        <v>2117</v>
      </c>
      <c r="B142" s="297" t="s">
        <v>2118</v>
      </c>
      <c r="C142" s="293" t="s">
        <v>87</v>
      </c>
      <c r="D142" s="294" t="s">
        <v>381</v>
      </c>
      <c r="E142" s="311">
        <v>2</v>
      </c>
      <c r="F142" s="298">
        <v>0.48</v>
      </c>
      <c r="G142" s="312">
        <f t="shared" si="1"/>
        <v>0.96</v>
      </c>
    </row>
    <row r="143" spans="1:8" ht="15" customHeight="1">
      <c r="A143" s="1159" t="s">
        <v>1820</v>
      </c>
      <c r="B143" s="1129" t="s">
        <v>279</v>
      </c>
      <c r="C143" s="593" t="s">
        <v>104</v>
      </c>
      <c r="D143" s="1153" t="s">
        <v>383</v>
      </c>
      <c r="E143" s="1162">
        <v>8</v>
      </c>
      <c r="F143" s="298">
        <f>'COMP AUX'!G253</f>
        <v>15.71</v>
      </c>
      <c r="G143" s="312">
        <f t="shared" si="1"/>
        <v>125.68</v>
      </c>
    </row>
    <row r="144" spans="1:8" ht="15" customHeight="1">
      <c r="A144" s="1160"/>
      <c r="B144" s="1130"/>
      <c r="C144" s="594" t="s">
        <v>87</v>
      </c>
      <c r="D144" s="1154"/>
      <c r="E144" s="1163"/>
      <c r="F144" s="298">
        <f>'COMP AUX'!G254</f>
        <v>4.8099999999999996</v>
      </c>
      <c r="G144" s="312">
        <f>TRUNC(E143*F144,2)</f>
        <v>38.479999999999997</v>
      </c>
    </row>
    <row r="145" spans="1:11" ht="15" customHeight="1">
      <c r="A145" s="1159" t="s">
        <v>1322</v>
      </c>
      <c r="B145" s="1129" t="s">
        <v>110</v>
      </c>
      <c r="C145" s="593" t="s">
        <v>104</v>
      </c>
      <c r="D145" s="1153" t="s">
        <v>383</v>
      </c>
      <c r="E145" s="1162">
        <v>8</v>
      </c>
      <c r="F145" s="298">
        <f>'COMP AUX'!G104</f>
        <v>11.18</v>
      </c>
      <c r="G145" s="312">
        <f>TRUNC(E145*F145,2)</f>
        <v>89.44</v>
      </c>
    </row>
    <row r="146" spans="1:11" ht="15" customHeight="1">
      <c r="A146" s="1160"/>
      <c r="B146" s="1178"/>
      <c r="C146" s="594" t="s">
        <v>87</v>
      </c>
      <c r="D146" s="1154"/>
      <c r="E146" s="1163"/>
      <c r="F146" s="298">
        <f>'COMP AUX'!G105</f>
        <v>4.7300000000000004</v>
      </c>
      <c r="G146" s="312">
        <f>TRUNC(E145*F146,2)</f>
        <v>37.840000000000003</v>
      </c>
    </row>
    <row r="147" spans="1:11" ht="15" customHeight="1">
      <c r="F147" s="360" t="s">
        <v>90</v>
      </c>
      <c r="G147" s="322">
        <f>G143+G145</f>
        <v>215.12</v>
      </c>
    </row>
    <row r="148" spans="1:11" ht="15" customHeight="1">
      <c r="F148" s="384" t="s">
        <v>92</v>
      </c>
      <c r="G148" s="325">
        <f>SUM(G126:G142)+G144+G146</f>
        <v>1126.58</v>
      </c>
    </row>
    <row r="149" spans="1:11" ht="15" customHeight="1">
      <c r="A149" s="122" t="s">
        <v>94</v>
      </c>
      <c r="F149" s="384" t="s">
        <v>93</v>
      </c>
      <c r="G149" s="329">
        <f>SUM(G147:G148)</f>
        <v>1341.6999999999998</v>
      </c>
    </row>
    <row r="150" spans="1:11" ht="15" customHeight="1">
      <c r="A150" s="300" t="s">
        <v>95</v>
      </c>
      <c r="B150" s="466">
        <f>G149</f>
        <v>1341.6999999999998</v>
      </c>
    </row>
    <row r="151" spans="1:11" ht="15" customHeight="1">
      <c r="A151" s="382" t="s">
        <v>2272</v>
      </c>
      <c r="B151" s="381"/>
    </row>
    <row r="152" spans="1:11" ht="15" customHeight="1">
      <c r="A152" s="443" t="s">
        <v>2311</v>
      </c>
      <c r="B152" s="381">
        <f>(B150+B151)*0.245</f>
        <v>328.71649999999994</v>
      </c>
    </row>
    <row r="153" spans="1:11" ht="15" customHeight="1">
      <c r="A153" s="300" t="s">
        <v>98</v>
      </c>
      <c r="B153" s="467">
        <f>SUM(B150:B152)</f>
        <v>1670.4164999999998</v>
      </c>
      <c r="H153" s="394"/>
      <c r="I153" s="122" t="s">
        <v>2277</v>
      </c>
    </row>
    <row r="154" spans="1:11">
      <c r="A154" s="362"/>
      <c r="B154" s="362"/>
      <c r="C154" s="362"/>
      <c r="D154" s="362"/>
      <c r="E154" s="362"/>
      <c r="F154" s="362"/>
      <c r="G154" s="362"/>
      <c r="H154" s="362"/>
    </row>
    <row r="156" spans="1:11" ht="13.8">
      <c r="A156" s="826" t="s">
        <v>1194</v>
      </c>
      <c r="B156" s="230"/>
      <c r="C156" s="230"/>
      <c r="D156" s="230"/>
      <c r="E156" s="230"/>
      <c r="F156" s="230"/>
      <c r="G156" s="230"/>
      <c r="H156" s="230"/>
    </row>
    <row r="157" spans="1:11" ht="13.8">
      <c r="A157" s="517" t="s">
        <v>2330</v>
      </c>
      <c r="B157" s="488"/>
      <c r="C157" s="488"/>
      <c r="D157" s="488"/>
      <c r="E157" s="488"/>
      <c r="F157" s="488"/>
      <c r="G157" s="488"/>
      <c r="H157" s="488"/>
    </row>
    <row r="158" spans="1:11" ht="18" customHeight="1">
      <c r="A158" s="375" t="s">
        <v>1548</v>
      </c>
      <c r="B158" s="375" t="s">
        <v>2332</v>
      </c>
      <c r="C158" s="375" t="s">
        <v>1316</v>
      </c>
      <c r="D158" s="136"/>
      <c r="E158" s="136"/>
      <c r="F158" s="136"/>
      <c r="G158" s="136"/>
      <c r="H158" s="123"/>
    </row>
    <row r="159" spans="1:11" ht="20.399999999999999">
      <c r="A159" s="291" t="s">
        <v>30</v>
      </c>
      <c r="B159" s="297" t="s">
        <v>19</v>
      </c>
      <c r="C159" s="293" t="s">
        <v>81</v>
      </c>
      <c r="D159" s="293" t="s">
        <v>77</v>
      </c>
      <c r="E159" s="294" t="s">
        <v>82</v>
      </c>
      <c r="F159" s="295" t="s">
        <v>83</v>
      </c>
      <c r="G159" s="355" t="s">
        <v>84</v>
      </c>
      <c r="H159" s="123"/>
      <c r="J159" s="289" t="s">
        <v>2379</v>
      </c>
      <c r="K159" s="385">
        <f>998/20</f>
        <v>49.9</v>
      </c>
    </row>
    <row r="160" spans="1:11" ht="14.1" customHeight="1">
      <c r="A160" s="392" t="s">
        <v>79</v>
      </c>
      <c r="B160" s="374" t="s">
        <v>2380</v>
      </c>
      <c r="C160" s="369" t="s">
        <v>87</v>
      </c>
      <c r="D160" s="369" t="s">
        <v>1452</v>
      </c>
      <c r="E160" s="377">
        <v>49.9</v>
      </c>
      <c r="F160" s="378">
        <v>1.8</v>
      </c>
      <c r="G160" s="504">
        <f>TRUNC(E160*F160,2)</f>
        <v>89.82</v>
      </c>
      <c r="H160" s="123"/>
      <c r="I160" s="128" t="s">
        <v>2381</v>
      </c>
    </row>
    <row r="161" spans="1:9" ht="20.399999999999999">
      <c r="A161" s="392">
        <v>3997</v>
      </c>
      <c r="B161" s="374" t="s">
        <v>2333</v>
      </c>
      <c r="C161" s="369" t="s">
        <v>87</v>
      </c>
      <c r="D161" s="369" t="s">
        <v>1316</v>
      </c>
      <c r="E161" s="377">
        <v>1.1000000000000001</v>
      </c>
      <c r="F161" s="960">
        <v>1531.01</v>
      </c>
      <c r="G161" s="504">
        <f>TRUNC(E161*F161,2)</f>
        <v>1684.11</v>
      </c>
      <c r="H161" s="123"/>
    </row>
    <row r="162" spans="1:9" ht="14.1" customHeight="1">
      <c r="A162" s="392">
        <v>5061</v>
      </c>
      <c r="B162" s="374" t="s">
        <v>893</v>
      </c>
      <c r="C162" s="369" t="s">
        <v>87</v>
      </c>
      <c r="D162" s="369" t="s">
        <v>102</v>
      </c>
      <c r="E162" s="377">
        <v>4.8</v>
      </c>
      <c r="F162" s="961">
        <v>9</v>
      </c>
      <c r="G162" s="504">
        <f>TRUNC(E162*F162,2)</f>
        <v>43.2</v>
      </c>
      <c r="H162" s="123"/>
    </row>
    <row r="163" spans="1:9" ht="14.1" customHeight="1">
      <c r="A163" s="1127">
        <v>88262</v>
      </c>
      <c r="B163" s="1177" t="s">
        <v>134</v>
      </c>
      <c r="C163" s="369" t="s">
        <v>104</v>
      </c>
      <c r="D163" s="1194" t="s">
        <v>383</v>
      </c>
      <c r="E163" s="1262">
        <v>48</v>
      </c>
      <c r="F163" s="961">
        <f>'COMP AUX'!G87</f>
        <v>14.92</v>
      </c>
      <c r="G163" s="504">
        <f>TRUNC(E163*F163,2)</f>
        <v>716.16</v>
      </c>
      <c r="H163" s="123"/>
    </row>
    <row r="164" spans="1:9" ht="14.1" customHeight="1">
      <c r="A164" s="1128"/>
      <c r="B164" s="1183"/>
      <c r="C164" s="369" t="s">
        <v>87</v>
      </c>
      <c r="D164" s="1195"/>
      <c r="E164" s="1263"/>
      <c r="F164" s="961">
        <f>'COMP AUX'!G88</f>
        <v>4.75</v>
      </c>
      <c r="G164" s="504">
        <f>TRUNC(E163*F164,2)</f>
        <v>228</v>
      </c>
      <c r="H164" s="123"/>
    </row>
    <row r="165" spans="1:9" ht="14.1" customHeight="1">
      <c r="A165" s="1127">
        <v>88241</v>
      </c>
      <c r="B165" s="1177" t="s">
        <v>2331</v>
      </c>
      <c r="C165" s="369" t="s">
        <v>104</v>
      </c>
      <c r="D165" s="1194" t="s">
        <v>383</v>
      </c>
      <c r="E165" s="1262">
        <v>48</v>
      </c>
      <c r="F165" s="961">
        <f>'COMP AUX'!G53</f>
        <v>10.76</v>
      </c>
      <c r="G165" s="504">
        <f>TRUNC(E165*F165,2)</f>
        <v>516.48</v>
      </c>
      <c r="H165" s="123"/>
    </row>
    <row r="166" spans="1:9" ht="14.1" customHeight="1">
      <c r="A166" s="1128"/>
      <c r="B166" s="1183"/>
      <c r="C166" s="369" t="s">
        <v>87</v>
      </c>
      <c r="D166" s="1195"/>
      <c r="E166" s="1263"/>
      <c r="F166" s="961">
        <f>'COMP AUX'!G54</f>
        <v>4.79</v>
      </c>
      <c r="G166" s="504">
        <f>TRUNC(E165*F166,2)</f>
        <v>229.92</v>
      </c>
      <c r="H166" s="123"/>
    </row>
    <row r="167" spans="1:9" ht="14.1" customHeight="1">
      <c r="A167" s="136"/>
      <c r="B167" s="136"/>
      <c r="C167" s="371"/>
      <c r="D167" s="371"/>
      <c r="E167" s="371"/>
      <c r="F167" s="372" t="s">
        <v>90</v>
      </c>
      <c r="G167" s="630">
        <f>G165+G163</f>
        <v>1232.6399999999999</v>
      </c>
      <c r="H167" s="123"/>
    </row>
    <row r="168" spans="1:9" ht="14.1" customHeight="1">
      <c r="A168" s="136"/>
      <c r="B168" s="136"/>
      <c r="C168" s="371"/>
      <c r="D168" s="371"/>
      <c r="E168" s="371"/>
      <c r="F168" s="372" t="s">
        <v>92</v>
      </c>
      <c r="G168" s="630">
        <f>G160+G161+G162+G164+G166</f>
        <v>2275.0499999999997</v>
      </c>
      <c r="H168" s="123"/>
    </row>
    <row r="169" spans="1:9" ht="14.1" customHeight="1">
      <c r="A169" s="375" t="s">
        <v>94</v>
      </c>
      <c r="B169" s="136"/>
      <c r="C169" s="371"/>
      <c r="D169" s="371"/>
      <c r="E169" s="371"/>
      <c r="F169" s="372" t="s">
        <v>93</v>
      </c>
      <c r="G169" s="631">
        <f>SUM(G167:G168)</f>
        <v>3507.6899999999996</v>
      </c>
      <c r="H169" s="123"/>
    </row>
    <row r="170" spans="1:9" ht="14.1" customHeight="1">
      <c r="A170" s="382" t="s">
        <v>95</v>
      </c>
      <c r="B170" s="632">
        <f>G169</f>
        <v>3507.6899999999996</v>
      </c>
      <c r="C170" s="136"/>
      <c r="D170" s="136"/>
      <c r="E170" s="136"/>
      <c r="F170" s="139"/>
      <c r="G170" s="139"/>
      <c r="H170" s="123"/>
    </row>
    <row r="171" spans="1:9" ht="14.1" customHeight="1">
      <c r="A171" s="382" t="s">
        <v>2272</v>
      </c>
      <c r="B171" s="632"/>
      <c r="C171" s="136"/>
      <c r="D171" s="136"/>
      <c r="E171" s="136"/>
      <c r="F171" s="139"/>
      <c r="G171" s="139"/>
    </row>
    <row r="172" spans="1:9" ht="14.1" customHeight="1">
      <c r="A172" s="443" t="s">
        <v>2311</v>
      </c>
      <c r="B172" s="632">
        <f>(B170+B171)*0.245</f>
        <v>859.38404999999989</v>
      </c>
      <c r="C172" s="136"/>
      <c r="D172" s="136"/>
      <c r="E172" s="136"/>
      <c r="F172" s="139"/>
      <c r="G172" s="139"/>
    </row>
    <row r="173" spans="1:9" ht="14.1" customHeight="1">
      <c r="A173" s="382" t="s">
        <v>98</v>
      </c>
      <c r="B173" s="633">
        <f>SUM(B170:B172)</f>
        <v>4367.0740499999993</v>
      </c>
      <c r="C173" s="136"/>
      <c r="D173" s="136"/>
      <c r="E173" s="136"/>
      <c r="F173" s="139"/>
      <c r="G173" s="139"/>
      <c r="H173" s="394"/>
      <c r="I173" s="122" t="s">
        <v>2277</v>
      </c>
    </row>
    <row r="174" spans="1:9" ht="13.8">
      <c r="A174" s="1247"/>
      <c r="B174" s="1248"/>
      <c r="C174" s="1248"/>
      <c r="D174" s="1248"/>
      <c r="E174" s="1248"/>
      <c r="F174" s="1248"/>
      <c r="G174" s="1248"/>
      <c r="H174" s="1248"/>
    </row>
    <row r="176" spans="1:9">
      <c r="A176" s="122" t="s">
        <v>1287</v>
      </c>
      <c r="B176" s="131"/>
      <c r="C176" s="131"/>
      <c r="D176" s="131"/>
      <c r="E176" s="131"/>
      <c r="F176" s="131"/>
      <c r="G176" s="131"/>
      <c r="H176" s="131"/>
    </row>
    <row r="177" spans="1:9">
      <c r="A177" s="390" t="s">
        <v>1501</v>
      </c>
    </row>
    <row r="178" spans="1:9" ht="25.5" customHeight="1">
      <c r="A178" s="409" t="s">
        <v>1548</v>
      </c>
      <c r="B178" s="588" t="s">
        <v>1552</v>
      </c>
      <c r="C178" s="440" t="s">
        <v>1316</v>
      </c>
      <c r="E178" s="410"/>
      <c r="F178" s="410"/>
      <c r="G178" s="410"/>
      <c r="H178" s="410"/>
    </row>
    <row r="179" spans="1:9" ht="20.399999999999999">
      <c r="A179" s="309" t="s">
        <v>30</v>
      </c>
      <c r="B179" s="354" t="s">
        <v>19</v>
      </c>
      <c r="C179" s="293" t="s">
        <v>81</v>
      </c>
      <c r="D179" s="294" t="s">
        <v>77</v>
      </c>
      <c r="E179" s="294" t="s">
        <v>82</v>
      </c>
      <c r="F179" s="295" t="s">
        <v>83</v>
      </c>
      <c r="G179" s="355" t="s">
        <v>84</v>
      </c>
      <c r="H179" s="388"/>
    </row>
    <row r="180" spans="1:9" ht="15" customHeight="1">
      <c r="A180" s="1228">
        <v>88309</v>
      </c>
      <c r="B180" s="1229" t="s">
        <v>118</v>
      </c>
      <c r="C180" s="397" t="s">
        <v>104</v>
      </c>
      <c r="D180" s="1230" t="s">
        <v>383</v>
      </c>
      <c r="E180" s="1227">
        <v>0.22500000000000001</v>
      </c>
      <c r="F180" s="812">
        <f>'COMP AUX'!G151</f>
        <v>15.020000000000001</v>
      </c>
      <c r="G180" s="398">
        <f>TRUNC(E180*F180,2)</f>
        <v>3.37</v>
      </c>
      <c r="H180" s="131"/>
    </row>
    <row r="181" spans="1:9" ht="15" customHeight="1">
      <c r="A181" s="1146"/>
      <c r="B181" s="1193"/>
      <c r="C181" s="395" t="s">
        <v>87</v>
      </c>
      <c r="D181" s="1144"/>
      <c r="E181" s="1140"/>
      <c r="F181" s="810">
        <f>'COMP AUX'!G152</f>
        <v>4.79</v>
      </c>
      <c r="G181" s="396">
        <f>TRUNC(E180*F181,2)</f>
        <v>1.07</v>
      </c>
      <c r="H181" s="131"/>
    </row>
    <row r="182" spans="1:9" ht="15" customHeight="1">
      <c r="A182" s="1145">
        <v>88316</v>
      </c>
      <c r="B182" s="1192" t="s">
        <v>110</v>
      </c>
      <c r="C182" s="395" t="s">
        <v>104</v>
      </c>
      <c r="D182" s="1143" t="s">
        <v>383</v>
      </c>
      <c r="E182" s="1137">
        <v>2.3248000000000002</v>
      </c>
      <c r="F182" s="810">
        <f>'COMP AUX'!G104</f>
        <v>11.18</v>
      </c>
      <c r="G182" s="396">
        <f>TRUNC(E182*F182,2)</f>
        <v>25.99</v>
      </c>
      <c r="H182" s="131"/>
    </row>
    <row r="183" spans="1:9" ht="15" customHeight="1">
      <c r="A183" s="1146"/>
      <c r="B183" s="1193"/>
      <c r="C183" s="395" t="s">
        <v>87</v>
      </c>
      <c r="D183" s="1144"/>
      <c r="E183" s="1138"/>
      <c r="F183" s="810">
        <f>'COMP AUX'!G105</f>
        <v>4.7300000000000004</v>
      </c>
      <c r="G183" s="396">
        <f>TRUNC(E182*F183,2)</f>
        <v>10.99</v>
      </c>
      <c r="H183" s="131"/>
    </row>
    <row r="184" spans="1:9" ht="15" customHeight="1">
      <c r="A184" s="131"/>
      <c r="B184" s="131"/>
      <c r="C184" s="131"/>
      <c r="D184" s="131"/>
      <c r="E184" s="131"/>
      <c r="F184" s="412" t="s">
        <v>90</v>
      </c>
      <c r="G184" s="407">
        <f>G180+G182</f>
        <v>29.36</v>
      </c>
      <c r="H184" s="131"/>
    </row>
    <row r="185" spans="1:9" ht="15" customHeight="1">
      <c r="A185" s="131"/>
      <c r="B185" s="131"/>
      <c r="C185" s="131"/>
      <c r="D185" s="131"/>
      <c r="E185" s="131"/>
      <c r="F185" s="412" t="s">
        <v>92</v>
      </c>
      <c r="G185" s="407">
        <f>G181+G183</f>
        <v>12.06</v>
      </c>
      <c r="H185" s="131"/>
    </row>
    <row r="186" spans="1:9" ht="15" customHeight="1">
      <c r="A186" s="413" t="s">
        <v>94</v>
      </c>
      <c r="B186" s="131"/>
      <c r="C186" s="131"/>
      <c r="D186" s="131"/>
      <c r="E186" s="131"/>
      <c r="F186" s="412" t="s">
        <v>93</v>
      </c>
      <c r="G186" s="813">
        <f>SUM(G184:G185)</f>
        <v>41.42</v>
      </c>
      <c r="H186" s="131"/>
    </row>
    <row r="187" spans="1:9" ht="15" customHeight="1">
      <c r="A187" s="300" t="s">
        <v>95</v>
      </c>
      <c r="B187" s="385">
        <f>G186</f>
        <v>41.42</v>
      </c>
      <c r="C187" s="131"/>
      <c r="D187" s="131"/>
      <c r="E187" s="131"/>
      <c r="F187" s="132"/>
      <c r="G187" s="132"/>
      <c r="H187" s="131"/>
    </row>
    <row r="188" spans="1:9" ht="15" customHeight="1">
      <c r="A188" s="382" t="s">
        <v>2272</v>
      </c>
      <c r="B188" s="381"/>
      <c r="C188" s="131"/>
      <c r="D188" s="131"/>
      <c r="E188" s="131"/>
      <c r="F188" s="132"/>
      <c r="G188" s="132"/>
      <c r="H188" s="131"/>
    </row>
    <row r="189" spans="1:9" ht="15" customHeight="1">
      <c r="A189" s="443" t="s">
        <v>2311</v>
      </c>
      <c r="B189" s="381">
        <f>(B187+B188)*0.245</f>
        <v>10.1479</v>
      </c>
      <c r="C189" s="131"/>
      <c r="D189" s="131"/>
      <c r="E189" s="131"/>
      <c r="F189" s="132"/>
      <c r="G189" s="132"/>
      <c r="H189" s="131"/>
    </row>
    <row r="190" spans="1:9" ht="15" customHeight="1">
      <c r="A190" s="300" t="s">
        <v>98</v>
      </c>
      <c r="B190" s="386">
        <f>SUM(B187:B189)</f>
        <v>51.567900000000002</v>
      </c>
      <c r="C190" s="131"/>
      <c r="D190" s="131"/>
      <c r="E190" s="131"/>
      <c r="F190" s="132"/>
      <c r="G190" s="132"/>
      <c r="H190" s="408"/>
      <c r="I190" s="122" t="s">
        <v>2273</v>
      </c>
    </row>
    <row r="191" spans="1:9">
      <c r="A191" s="362"/>
      <c r="B191" s="363"/>
      <c r="C191" s="364"/>
      <c r="D191" s="362"/>
      <c r="E191" s="363"/>
      <c r="F191" s="363"/>
      <c r="G191" s="363"/>
      <c r="H191" s="362"/>
    </row>
    <row r="193" spans="1:9">
      <c r="A193" s="122" t="s">
        <v>1287</v>
      </c>
      <c r="B193" s="131"/>
      <c r="C193" s="131"/>
      <c r="D193" s="131"/>
      <c r="E193" s="131"/>
      <c r="F193" s="131"/>
      <c r="G193" s="131"/>
      <c r="H193" s="131"/>
    </row>
    <row r="194" spans="1:9" ht="15" customHeight="1">
      <c r="A194" s="390" t="s">
        <v>2062</v>
      </c>
    </row>
    <row r="195" spans="1:9" ht="24.75" customHeight="1">
      <c r="A195" s="409" t="s">
        <v>1548</v>
      </c>
      <c r="B195" s="588" t="s">
        <v>2422</v>
      </c>
      <c r="C195" s="440" t="s">
        <v>1487</v>
      </c>
      <c r="E195" s="410"/>
      <c r="F195" s="410"/>
      <c r="G195" s="410"/>
      <c r="H195" s="410"/>
    </row>
    <row r="196" spans="1:9" ht="20.399999999999999">
      <c r="A196" s="309" t="s">
        <v>30</v>
      </c>
      <c r="B196" s="354" t="s">
        <v>19</v>
      </c>
      <c r="C196" s="293" t="s">
        <v>81</v>
      </c>
      <c r="D196" s="294" t="s">
        <v>77</v>
      </c>
      <c r="E196" s="294" t="s">
        <v>82</v>
      </c>
      <c r="F196" s="295" t="s">
        <v>83</v>
      </c>
      <c r="G196" s="355" t="s">
        <v>84</v>
      </c>
      <c r="H196" s="388"/>
    </row>
    <row r="197" spans="1:9" ht="15" customHeight="1">
      <c r="A197" s="1228">
        <v>88309</v>
      </c>
      <c r="B197" s="1229" t="s">
        <v>118</v>
      </c>
      <c r="C197" s="397" t="s">
        <v>104</v>
      </c>
      <c r="D197" s="1230" t="s">
        <v>383</v>
      </c>
      <c r="E197" s="1227">
        <v>0.13</v>
      </c>
      <c r="F197" s="812">
        <f>'COMP AUX'!G151</f>
        <v>15.020000000000001</v>
      </c>
      <c r="G197" s="398">
        <f>TRUNC(E197*F197,2)</f>
        <v>1.95</v>
      </c>
      <c r="H197" s="131"/>
    </row>
    <row r="198" spans="1:9" ht="15" customHeight="1">
      <c r="A198" s="1146"/>
      <c r="B198" s="1193"/>
      <c r="C198" s="395" t="s">
        <v>87</v>
      </c>
      <c r="D198" s="1144"/>
      <c r="E198" s="1140"/>
      <c r="F198" s="810">
        <f>'COMP AUX'!G152</f>
        <v>4.79</v>
      </c>
      <c r="G198" s="396">
        <f>TRUNC(E197*F198,2)</f>
        <v>0.62</v>
      </c>
      <c r="H198" s="131"/>
    </row>
    <row r="199" spans="1:9" ht="15" customHeight="1">
      <c r="A199" s="1145">
        <v>88316</v>
      </c>
      <c r="B199" s="1192" t="s">
        <v>110</v>
      </c>
      <c r="C199" s="395" t="s">
        <v>104</v>
      </c>
      <c r="D199" s="1143" t="s">
        <v>383</v>
      </c>
      <c r="E199" s="1137">
        <v>1.3</v>
      </c>
      <c r="F199" s="810">
        <f>'COMP AUX'!G104</f>
        <v>11.18</v>
      </c>
      <c r="G199" s="396">
        <f>TRUNC(E199*F199,2)</f>
        <v>14.53</v>
      </c>
      <c r="H199" s="131"/>
    </row>
    <row r="200" spans="1:9" ht="15" customHeight="1">
      <c r="A200" s="1146"/>
      <c r="B200" s="1193"/>
      <c r="C200" s="395" t="s">
        <v>87</v>
      </c>
      <c r="D200" s="1144"/>
      <c r="E200" s="1138"/>
      <c r="F200" s="810">
        <f>'COMP AUX'!G105</f>
        <v>4.7300000000000004</v>
      </c>
      <c r="G200" s="396">
        <f>TRUNC(E199*F200,2)</f>
        <v>6.14</v>
      </c>
      <c r="H200" s="131"/>
    </row>
    <row r="201" spans="1:9" ht="15" customHeight="1">
      <c r="A201" s="131"/>
      <c r="B201" s="131"/>
      <c r="C201" s="131"/>
      <c r="D201" s="131"/>
      <c r="E201" s="131"/>
      <c r="F201" s="412" t="s">
        <v>90</v>
      </c>
      <c r="G201" s="407">
        <f>G197+G199</f>
        <v>16.48</v>
      </c>
      <c r="H201" s="131"/>
    </row>
    <row r="202" spans="1:9" ht="15" customHeight="1">
      <c r="A202" s="131"/>
      <c r="B202" s="131"/>
      <c r="C202" s="131"/>
      <c r="D202" s="131"/>
      <c r="E202" s="131"/>
      <c r="F202" s="412" t="s">
        <v>92</v>
      </c>
      <c r="G202" s="407">
        <f>G198+G200</f>
        <v>6.76</v>
      </c>
      <c r="H202" s="131"/>
    </row>
    <row r="203" spans="1:9" ht="15" customHeight="1">
      <c r="A203" s="413" t="s">
        <v>94</v>
      </c>
      <c r="B203" s="131"/>
      <c r="C203" s="131"/>
      <c r="D203" s="131"/>
      <c r="E203" s="131"/>
      <c r="F203" s="412" t="s">
        <v>93</v>
      </c>
      <c r="G203" s="813">
        <f>SUM(G201:G202)</f>
        <v>23.240000000000002</v>
      </c>
      <c r="H203" s="131"/>
    </row>
    <row r="204" spans="1:9" ht="15" customHeight="1">
      <c r="A204" s="300" t="s">
        <v>95</v>
      </c>
      <c r="B204" s="385">
        <f>G203</f>
        <v>23.240000000000002</v>
      </c>
      <c r="C204" s="131"/>
      <c r="D204" s="131"/>
      <c r="E204" s="131"/>
      <c r="F204" s="132"/>
      <c r="G204" s="132"/>
      <c r="H204" s="131"/>
    </row>
    <row r="205" spans="1:9" ht="15" customHeight="1">
      <c r="A205" s="382" t="s">
        <v>2272</v>
      </c>
      <c r="B205" s="381"/>
      <c r="C205" s="131"/>
      <c r="D205" s="131"/>
      <c r="E205" s="131"/>
      <c r="F205" s="132"/>
      <c r="G205" s="132"/>
      <c r="H205" s="131"/>
    </row>
    <row r="206" spans="1:9" ht="15" customHeight="1">
      <c r="A206" s="443" t="s">
        <v>2311</v>
      </c>
      <c r="B206" s="381">
        <f>(B204+B205)*0.245</f>
        <v>5.6938000000000004</v>
      </c>
      <c r="C206" s="131"/>
      <c r="D206" s="131"/>
      <c r="E206" s="131"/>
      <c r="F206" s="132"/>
      <c r="G206" s="132"/>
      <c r="H206" s="131"/>
    </row>
    <row r="207" spans="1:9" ht="15" customHeight="1">
      <c r="A207" s="300" t="s">
        <v>98</v>
      </c>
      <c r="B207" s="386">
        <f>SUM(B204:B206)</f>
        <v>28.933800000000002</v>
      </c>
      <c r="C207" s="131"/>
      <c r="D207" s="131"/>
      <c r="E207" s="131"/>
      <c r="F207" s="132"/>
      <c r="G207" s="132"/>
      <c r="H207" s="408"/>
      <c r="I207" s="122" t="s">
        <v>2273</v>
      </c>
    </row>
    <row r="208" spans="1:9">
      <c r="A208" s="362"/>
      <c r="B208" s="363"/>
      <c r="C208" s="364"/>
      <c r="D208" s="362"/>
      <c r="E208" s="363"/>
      <c r="F208" s="363"/>
      <c r="G208" s="363"/>
      <c r="H208" s="362"/>
    </row>
    <row r="210" spans="1:9">
      <c r="A210" s="122" t="s">
        <v>1287</v>
      </c>
      <c r="B210" s="131"/>
      <c r="C210" s="131"/>
      <c r="D210" s="131"/>
      <c r="E210" s="131"/>
      <c r="F210" s="131"/>
      <c r="G210" s="131"/>
      <c r="H210" s="131"/>
    </row>
    <row r="211" spans="1:9">
      <c r="A211" s="390" t="s">
        <v>2063</v>
      </c>
    </row>
    <row r="212" spans="1:9" ht="19.5" customHeight="1">
      <c r="A212" s="409" t="s">
        <v>1548</v>
      </c>
      <c r="B212" s="588" t="s">
        <v>2064</v>
      </c>
      <c r="C212" s="440" t="s">
        <v>1487</v>
      </c>
      <c r="E212" s="410"/>
      <c r="F212" s="410"/>
      <c r="G212" s="410"/>
      <c r="H212" s="410"/>
    </row>
    <row r="213" spans="1:9" ht="20.399999999999999">
      <c r="A213" s="309" t="s">
        <v>30</v>
      </c>
      <c r="B213" s="354" t="s">
        <v>19</v>
      </c>
      <c r="C213" s="293" t="s">
        <v>81</v>
      </c>
      <c r="D213" s="294" t="s">
        <v>77</v>
      </c>
      <c r="E213" s="294" t="s">
        <v>82</v>
      </c>
      <c r="F213" s="295" t="s">
        <v>83</v>
      </c>
      <c r="G213" s="355" t="s">
        <v>84</v>
      </c>
      <c r="H213" s="388"/>
    </row>
    <row r="214" spans="1:9" ht="15" customHeight="1">
      <c r="A214" s="1228">
        <v>88309</v>
      </c>
      <c r="B214" s="1229" t="s">
        <v>118</v>
      </c>
      <c r="C214" s="397" t="s">
        <v>104</v>
      </c>
      <c r="D214" s="1230" t="s">
        <v>383</v>
      </c>
      <c r="E214" s="1227">
        <v>0.39</v>
      </c>
      <c r="F214" s="812">
        <f>'COMP AUX'!G151</f>
        <v>15.020000000000001</v>
      </c>
      <c r="G214" s="398">
        <f>TRUNC(E214*F214,2)</f>
        <v>5.85</v>
      </c>
      <c r="H214" s="131"/>
    </row>
    <row r="215" spans="1:9" ht="15" customHeight="1">
      <c r="A215" s="1146"/>
      <c r="B215" s="1193"/>
      <c r="C215" s="395" t="s">
        <v>87</v>
      </c>
      <c r="D215" s="1144"/>
      <c r="E215" s="1140"/>
      <c r="F215" s="810">
        <f>'COMP AUX'!G152</f>
        <v>4.79</v>
      </c>
      <c r="G215" s="396">
        <f>TRUNC(E214*F215,2)</f>
        <v>1.86</v>
      </c>
      <c r="H215" s="131"/>
    </row>
    <row r="216" spans="1:9" ht="15" customHeight="1">
      <c r="A216" s="1145">
        <v>88316</v>
      </c>
      <c r="B216" s="1192" t="s">
        <v>110</v>
      </c>
      <c r="C216" s="395" t="s">
        <v>104</v>
      </c>
      <c r="D216" s="1143" t="s">
        <v>383</v>
      </c>
      <c r="E216" s="1137">
        <v>2.75</v>
      </c>
      <c r="F216" s="810">
        <f>'COMP AUX'!G104</f>
        <v>11.18</v>
      </c>
      <c r="G216" s="396">
        <f>TRUNC(E216*F216,2)</f>
        <v>30.74</v>
      </c>
      <c r="H216" s="131"/>
    </row>
    <row r="217" spans="1:9" ht="15" customHeight="1">
      <c r="A217" s="1146"/>
      <c r="B217" s="1193"/>
      <c r="C217" s="395" t="s">
        <v>87</v>
      </c>
      <c r="D217" s="1144"/>
      <c r="E217" s="1138"/>
      <c r="F217" s="810">
        <f>'COMP AUX'!G105</f>
        <v>4.7300000000000004</v>
      </c>
      <c r="G217" s="396">
        <f>TRUNC(E216*F217,2)</f>
        <v>13</v>
      </c>
      <c r="H217" s="131"/>
    </row>
    <row r="218" spans="1:9" ht="15" customHeight="1">
      <c r="A218" s="131"/>
      <c r="B218" s="131"/>
      <c r="C218" s="131"/>
      <c r="D218" s="131"/>
      <c r="E218" s="131"/>
      <c r="F218" s="412" t="s">
        <v>90</v>
      </c>
      <c r="G218" s="407">
        <f>G214+G216</f>
        <v>36.589999999999996</v>
      </c>
      <c r="H218" s="131"/>
    </row>
    <row r="219" spans="1:9" ht="15" customHeight="1">
      <c r="A219" s="131"/>
      <c r="B219" s="131"/>
      <c r="C219" s="131"/>
      <c r="D219" s="131"/>
      <c r="E219" s="131"/>
      <c r="F219" s="412" t="s">
        <v>92</v>
      </c>
      <c r="G219" s="407">
        <f>G215+G217</f>
        <v>14.86</v>
      </c>
      <c r="H219" s="131"/>
    </row>
    <row r="220" spans="1:9" ht="15" customHeight="1">
      <c r="A220" s="413" t="s">
        <v>94</v>
      </c>
      <c r="B220" s="131"/>
      <c r="C220" s="131"/>
      <c r="D220" s="131"/>
      <c r="E220" s="131"/>
      <c r="F220" s="412" t="s">
        <v>93</v>
      </c>
      <c r="G220" s="813">
        <f>SUM(G218:G219)</f>
        <v>51.449999999999996</v>
      </c>
      <c r="H220" s="131"/>
    </row>
    <row r="221" spans="1:9" ht="15" customHeight="1">
      <c r="A221" s="300" t="s">
        <v>95</v>
      </c>
      <c r="B221" s="385">
        <f>G220</f>
        <v>51.449999999999996</v>
      </c>
      <c r="C221" s="131"/>
      <c r="D221" s="131"/>
      <c r="E221" s="131"/>
      <c r="F221" s="132"/>
      <c r="G221" s="132"/>
      <c r="H221" s="131"/>
    </row>
    <row r="222" spans="1:9" ht="15" customHeight="1">
      <c r="A222" s="382" t="s">
        <v>2272</v>
      </c>
      <c r="B222" s="381"/>
      <c r="C222" s="131"/>
      <c r="D222" s="131"/>
      <c r="E222" s="131"/>
      <c r="F222" s="132"/>
      <c r="G222" s="132"/>
      <c r="H222" s="131"/>
    </row>
    <row r="223" spans="1:9" ht="15" customHeight="1">
      <c r="A223" s="443" t="s">
        <v>2311</v>
      </c>
      <c r="B223" s="381">
        <f>(B221+B222)*0.245</f>
        <v>12.605249999999998</v>
      </c>
      <c r="C223" s="131"/>
      <c r="D223" s="131"/>
      <c r="E223" s="131"/>
      <c r="F223" s="132"/>
      <c r="G223" s="132"/>
      <c r="H223" s="131"/>
    </row>
    <row r="224" spans="1:9" ht="15" customHeight="1">
      <c r="A224" s="300" t="s">
        <v>98</v>
      </c>
      <c r="B224" s="386">
        <f>SUM(B221:B223)</f>
        <v>64.055250000000001</v>
      </c>
      <c r="C224" s="131"/>
      <c r="D224" s="131"/>
      <c r="E224" s="131"/>
      <c r="F224" s="132"/>
      <c r="G224" s="132"/>
      <c r="H224" s="408"/>
      <c r="I224" s="122" t="s">
        <v>2273</v>
      </c>
    </row>
    <row r="225" spans="1:9">
      <c r="A225" s="362"/>
      <c r="B225" s="363"/>
      <c r="C225" s="364"/>
      <c r="D225" s="362"/>
      <c r="E225" s="363"/>
      <c r="F225" s="363"/>
      <c r="G225" s="363"/>
      <c r="H225" s="362"/>
    </row>
    <row r="227" spans="1:9">
      <c r="A227" s="122" t="s">
        <v>1287</v>
      </c>
      <c r="B227" s="131"/>
      <c r="C227" s="131"/>
      <c r="D227" s="131"/>
      <c r="E227" s="131"/>
      <c r="F227" s="131"/>
      <c r="G227" s="131"/>
      <c r="H227" s="131"/>
    </row>
    <row r="228" spans="1:9">
      <c r="A228" s="390" t="s">
        <v>2066</v>
      </c>
    </row>
    <row r="229" spans="1:9" ht="18" customHeight="1">
      <c r="A229" s="409" t="s">
        <v>1548</v>
      </c>
      <c r="B229" s="588" t="s">
        <v>2065</v>
      </c>
      <c r="C229" s="411" t="s">
        <v>391</v>
      </c>
      <c r="E229" s="410"/>
      <c r="F229" s="410"/>
      <c r="G229" s="410"/>
      <c r="H229" s="410"/>
    </row>
    <row r="230" spans="1:9" ht="20.399999999999999">
      <c r="A230" s="309" t="s">
        <v>30</v>
      </c>
      <c r="B230" s="354" t="s">
        <v>19</v>
      </c>
      <c r="C230" s="293" t="s">
        <v>81</v>
      </c>
      <c r="D230" s="294" t="s">
        <v>77</v>
      </c>
      <c r="E230" s="294" t="s">
        <v>82</v>
      </c>
      <c r="F230" s="295" t="s">
        <v>83</v>
      </c>
      <c r="G230" s="355" t="s">
        <v>84</v>
      </c>
      <c r="H230" s="388"/>
    </row>
    <row r="231" spans="1:9" ht="15" customHeight="1">
      <c r="A231" s="1145">
        <v>88316</v>
      </c>
      <c r="B231" s="1192" t="s">
        <v>110</v>
      </c>
      <c r="C231" s="395" t="s">
        <v>104</v>
      </c>
      <c r="D231" s="1143" t="s">
        <v>383</v>
      </c>
      <c r="E231" s="1137">
        <v>2.4</v>
      </c>
      <c r="F231" s="810">
        <v>15.66</v>
      </c>
      <c r="G231" s="396">
        <f>TRUNC(E231*F231,2)</f>
        <v>37.58</v>
      </c>
      <c r="H231" s="131"/>
    </row>
    <row r="232" spans="1:9" ht="15" customHeight="1">
      <c r="A232" s="1146"/>
      <c r="B232" s="1193"/>
      <c r="C232" s="395" t="s">
        <v>87</v>
      </c>
      <c r="D232" s="1144"/>
      <c r="E232" s="1138"/>
      <c r="F232" s="810">
        <f>'COMP AUX'!G105</f>
        <v>4.7300000000000004</v>
      </c>
      <c r="G232" s="396">
        <f>TRUNC(E231*F232,2)</f>
        <v>11.35</v>
      </c>
      <c r="H232" s="131"/>
    </row>
    <row r="233" spans="1:9" ht="15" customHeight="1">
      <c r="A233" s="131"/>
      <c r="B233" s="131"/>
      <c r="C233" s="131"/>
      <c r="D233" s="131"/>
      <c r="E233" s="131"/>
      <c r="F233" s="412" t="s">
        <v>90</v>
      </c>
      <c r="G233" s="407">
        <f>G231</f>
        <v>37.58</v>
      </c>
      <c r="H233" s="131"/>
    </row>
    <row r="234" spans="1:9" ht="15" customHeight="1">
      <c r="A234" s="131"/>
      <c r="B234" s="131"/>
      <c r="C234" s="131"/>
      <c r="D234" s="131"/>
      <c r="E234" s="131"/>
      <c r="F234" s="412" t="s">
        <v>92</v>
      </c>
      <c r="G234" s="407">
        <f>G232</f>
        <v>11.35</v>
      </c>
      <c r="H234" s="131"/>
    </row>
    <row r="235" spans="1:9" ht="15" customHeight="1">
      <c r="A235" s="413" t="s">
        <v>94</v>
      </c>
      <c r="B235" s="131"/>
      <c r="C235" s="131"/>
      <c r="D235" s="131"/>
      <c r="E235" s="131"/>
      <c r="F235" s="412" t="s">
        <v>93</v>
      </c>
      <c r="G235" s="813">
        <f>SUM(G233:G234)</f>
        <v>48.93</v>
      </c>
      <c r="H235" s="131"/>
    </row>
    <row r="236" spans="1:9" ht="15" customHeight="1">
      <c r="A236" s="300" t="s">
        <v>95</v>
      </c>
      <c r="B236" s="385">
        <f>G235</f>
        <v>48.93</v>
      </c>
      <c r="C236" s="131"/>
      <c r="D236" s="131"/>
      <c r="E236" s="131"/>
      <c r="F236" s="132"/>
      <c r="G236" s="132"/>
      <c r="H236" s="131"/>
    </row>
    <row r="237" spans="1:9" ht="15" customHeight="1">
      <c r="A237" s="382" t="s">
        <v>2272</v>
      </c>
      <c r="B237" s="381"/>
      <c r="C237" s="131"/>
      <c r="D237" s="131"/>
      <c r="E237" s="131"/>
      <c r="F237" s="132"/>
      <c r="G237" s="132"/>
      <c r="H237" s="131"/>
    </row>
    <row r="238" spans="1:9" ht="15" customHeight="1">
      <c r="A238" s="443" t="s">
        <v>2311</v>
      </c>
      <c r="B238" s="381">
        <f>(B236+B237)*0.245</f>
        <v>11.98785</v>
      </c>
      <c r="C238" s="131"/>
      <c r="D238" s="131"/>
      <c r="E238" s="131"/>
      <c r="F238" s="132"/>
      <c r="G238" s="132"/>
      <c r="H238" s="131"/>
    </row>
    <row r="239" spans="1:9" ht="15" customHeight="1">
      <c r="A239" s="300" t="s">
        <v>98</v>
      </c>
      <c r="B239" s="386">
        <f>SUM(B236:B238)</f>
        <v>60.917850000000001</v>
      </c>
      <c r="C239" s="131"/>
      <c r="D239" s="131"/>
      <c r="E239" s="131"/>
      <c r="F239" s="132"/>
      <c r="G239" s="132"/>
      <c r="H239" s="408"/>
      <c r="I239" s="122" t="s">
        <v>2273</v>
      </c>
    </row>
    <row r="240" spans="1:9">
      <c r="A240" s="362"/>
      <c r="B240" s="363"/>
      <c r="C240" s="364"/>
      <c r="D240" s="362"/>
      <c r="E240" s="363"/>
      <c r="F240" s="363"/>
      <c r="G240" s="363"/>
      <c r="H240" s="362"/>
    </row>
    <row r="242" spans="1:9">
      <c r="A242" s="122" t="s">
        <v>1287</v>
      </c>
      <c r="B242" s="131"/>
      <c r="C242" s="131"/>
      <c r="D242" s="131"/>
      <c r="E242" s="131"/>
      <c r="F242" s="131"/>
      <c r="G242" s="131"/>
      <c r="H242" s="131"/>
    </row>
    <row r="243" spans="1:9">
      <c r="A243" s="390" t="s">
        <v>2068</v>
      </c>
    </row>
    <row r="244" spans="1:9" ht="15.75" customHeight="1">
      <c r="A244" s="409" t="s">
        <v>1548</v>
      </c>
      <c r="B244" s="588" t="s">
        <v>2067</v>
      </c>
      <c r="C244" s="411" t="s">
        <v>391</v>
      </c>
      <c r="E244" s="410"/>
      <c r="F244" s="410"/>
      <c r="G244" s="410"/>
      <c r="H244" s="410"/>
    </row>
    <row r="245" spans="1:9" ht="20.399999999999999">
      <c r="A245" s="309" t="s">
        <v>30</v>
      </c>
      <c r="B245" s="354" t="s">
        <v>19</v>
      </c>
      <c r="C245" s="293" t="s">
        <v>81</v>
      </c>
      <c r="D245" s="294" t="s">
        <v>77</v>
      </c>
      <c r="E245" s="294" t="s">
        <v>82</v>
      </c>
      <c r="F245" s="295" t="s">
        <v>83</v>
      </c>
      <c r="G245" s="355" t="s">
        <v>84</v>
      </c>
      <c r="H245" s="388"/>
    </row>
    <row r="246" spans="1:9" ht="15" customHeight="1">
      <c r="A246" s="1145">
        <v>88316</v>
      </c>
      <c r="B246" s="1192" t="s">
        <v>110</v>
      </c>
      <c r="C246" s="395" t="s">
        <v>104</v>
      </c>
      <c r="D246" s="1143" t="s">
        <v>383</v>
      </c>
      <c r="E246" s="1137">
        <v>2.44</v>
      </c>
      <c r="F246" s="810">
        <f>'COMP AUX'!G104+1.5</f>
        <v>12.68</v>
      </c>
      <c r="G246" s="396">
        <f>TRUNC(E246*F246,2)</f>
        <v>30.93</v>
      </c>
      <c r="H246" s="131"/>
    </row>
    <row r="247" spans="1:9" ht="15" customHeight="1">
      <c r="A247" s="1146"/>
      <c r="B247" s="1193"/>
      <c r="C247" s="395" t="s">
        <v>87</v>
      </c>
      <c r="D247" s="1144"/>
      <c r="E247" s="1138"/>
      <c r="F247" s="810">
        <f>'COMP AUX'!G105</f>
        <v>4.7300000000000004</v>
      </c>
      <c r="G247" s="396">
        <f>TRUNC(E246*F247,2)</f>
        <v>11.54</v>
      </c>
      <c r="H247" s="131"/>
    </row>
    <row r="248" spans="1:9" ht="15" customHeight="1">
      <c r="A248" s="131"/>
      <c r="B248" s="131"/>
      <c r="C248" s="131"/>
      <c r="D248" s="131"/>
      <c r="E248" s="131"/>
      <c r="F248" s="412" t="s">
        <v>90</v>
      </c>
      <c r="G248" s="407">
        <f>G246</f>
        <v>30.93</v>
      </c>
      <c r="H248" s="131"/>
    </row>
    <row r="249" spans="1:9" ht="15" customHeight="1">
      <c r="A249" s="131"/>
      <c r="B249" s="131"/>
      <c r="C249" s="131"/>
      <c r="D249" s="131"/>
      <c r="E249" s="131"/>
      <c r="F249" s="412" t="s">
        <v>92</v>
      </c>
      <c r="G249" s="407">
        <f>G247</f>
        <v>11.54</v>
      </c>
      <c r="H249" s="131"/>
    </row>
    <row r="250" spans="1:9" ht="15" customHeight="1">
      <c r="A250" s="413" t="s">
        <v>94</v>
      </c>
      <c r="B250" s="131"/>
      <c r="C250" s="131"/>
      <c r="D250" s="131"/>
      <c r="E250" s="131"/>
      <c r="F250" s="412" t="s">
        <v>93</v>
      </c>
      <c r="G250" s="813">
        <f>SUM(G248:G249)</f>
        <v>42.47</v>
      </c>
      <c r="H250" s="131"/>
    </row>
    <row r="251" spans="1:9" ht="15" customHeight="1">
      <c r="A251" s="300" t="s">
        <v>95</v>
      </c>
      <c r="B251" s="385">
        <f>G250</f>
        <v>42.47</v>
      </c>
      <c r="C251" s="131"/>
      <c r="D251" s="131"/>
      <c r="E251" s="131"/>
      <c r="F251" s="132"/>
      <c r="G251" s="132"/>
      <c r="H251" s="131"/>
    </row>
    <row r="252" spans="1:9" ht="15" customHeight="1">
      <c r="A252" s="382" t="s">
        <v>2272</v>
      </c>
      <c r="B252" s="381"/>
      <c r="C252" s="131"/>
      <c r="D252" s="131"/>
      <c r="E252" s="131"/>
      <c r="F252" s="132"/>
      <c r="G252" s="132"/>
      <c r="H252" s="131"/>
    </row>
    <row r="253" spans="1:9" ht="15" customHeight="1">
      <c r="A253" s="443" t="s">
        <v>2311</v>
      </c>
      <c r="B253" s="381">
        <f>(B251+B252)*0.245</f>
        <v>10.405149999999999</v>
      </c>
      <c r="C253" s="131"/>
      <c r="D253" s="131"/>
      <c r="E253" s="131"/>
      <c r="F253" s="132"/>
      <c r="G253" s="132"/>
      <c r="H253" s="131"/>
    </row>
    <row r="254" spans="1:9" ht="15" customHeight="1">
      <c r="A254" s="300" t="s">
        <v>98</v>
      </c>
      <c r="B254" s="386">
        <f>SUM(B251:B253)</f>
        <v>52.875149999999998</v>
      </c>
      <c r="C254" s="131"/>
      <c r="D254" s="131"/>
      <c r="E254" s="131"/>
      <c r="F254" s="132"/>
      <c r="G254" s="132"/>
      <c r="H254" s="408"/>
      <c r="I254" s="122" t="s">
        <v>2273</v>
      </c>
    </row>
    <row r="255" spans="1:9">
      <c r="A255" s="362"/>
      <c r="B255" s="363"/>
      <c r="C255" s="364"/>
      <c r="D255" s="362"/>
      <c r="E255" s="363"/>
      <c r="F255" s="363"/>
      <c r="G255" s="363"/>
      <c r="H255" s="362"/>
    </row>
    <row r="257" spans="1:12">
      <c r="A257" s="122" t="s">
        <v>1194</v>
      </c>
      <c r="B257" s="462"/>
      <c r="C257" s="462"/>
      <c r="D257" s="462"/>
      <c r="E257" s="462"/>
      <c r="F257" s="462"/>
      <c r="G257" s="462"/>
      <c r="H257" s="462"/>
    </row>
    <row r="258" spans="1:12" ht="15" customHeight="1">
      <c r="A258" s="148" t="s">
        <v>2546</v>
      </c>
      <c r="B258" s="130"/>
      <c r="C258" s="130"/>
      <c r="D258" s="130"/>
      <c r="E258" s="130"/>
      <c r="F258" s="130"/>
      <c r="G258" s="130"/>
      <c r="H258" s="130"/>
    </row>
    <row r="259" spans="1:12" ht="18" customHeight="1">
      <c r="A259" s="481" t="s">
        <v>1550</v>
      </c>
      <c r="B259" s="481" t="s">
        <v>2680</v>
      </c>
      <c r="C259" s="465" t="s">
        <v>1487</v>
      </c>
      <c r="D259" s="481"/>
      <c r="F259" s="130"/>
      <c r="G259" s="130"/>
      <c r="H259" s="130"/>
      <c r="J259" s="148" t="s">
        <v>2158</v>
      </c>
    </row>
    <row r="260" spans="1:12" ht="20.399999999999999">
      <c r="A260" s="309" t="s">
        <v>30</v>
      </c>
      <c r="B260" s="354" t="s">
        <v>19</v>
      </c>
      <c r="C260" s="293" t="s">
        <v>81</v>
      </c>
      <c r="D260" s="294" t="s">
        <v>77</v>
      </c>
      <c r="E260" s="294" t="s">
        <v>82</v>
      </c>
      <c r="F260" s="295" t="s">
        <v>83</v>
      </c>
      <c r="G260" s="355" t="s">
        <v>84</v>
      </c>
      <c r="H260" s="130"/>
    </row>
    <row r="261" spans="1:12" ht="15" customHeight="1">
      <c r="A261" s="459">
        <v>344</v>
      </c>
      <c r="B261" s="453" t="s">
        <v>2159</v>
      </c>
      <c r="C261" s="438" t="s">
        <v>87</v>
      </c>
      <c r="D261" s="438" t="s">
        <v>1319</v>
      </c>
      <c r="E261" s="476"/>
      <c r="F261" s="814">
        <v>15.14</v>
      </c>
      <c r="G261" s="439">
        <f t="shared" ref="G261:G267" si="2">TRUNC(E261*F261,2)</f>
        <v>0</v>
      </c>
      <c r="H261" s="130"/>
    </row>
    <row r="262" spans="1:12" ht="26.25" customHeight="1">
      <c r="A262" s="459" t="s">
        <v>2160</v>
      </c>
      <c r="B262" s="453" t="s">
        <v>2648</v>
      </c>
      <c r="C262" s="438" t="s">
        <v>87</v>
      </c>
      <c r="D262" s="438" t="s">
        <v>391</v>
      </c>
      <c r="E262" s="476"/>
      <c r="F262" s="814">
        <v>6.18</v>
      </c>
      <c r="G262" s="439">
        <f t="shared" si="2"/>
        <v>0</v>
      </c>
      <c r="H262" s="130"/>
    </row>
    <row r="263" spans="1:12" ht="15" customHeight="1">
      <c r="A263" s="459" t="s">
        <v>1569</v>
      </c>
      <c r="B263" s="453" t="s">
        <v>2679</v>
      </c>
      <c r="C263" s="438" t="s">
        <v>87</v>
      </c>
      <c r="D263" s="438" t="s">
        <v>1319</v>
      </c>
      <c r="E263" s="476"/>
      <c r="F263" s="814">
        <v>10.25</v>
      </c>
      <c r="G263" s="439">
        <f t="shared" si="2"/>
        <v>0</v>
      </c>
      <c r="H263" s="130"/>
    </row>
    <row r="264" spans="1:12" ht="17.25" customHeight="1">
      <c r="A264" s="459" t="s">
        <v>1570</v>
      </c>
      <c r="B264" s="453" t="s">
        <v>2678</v>
      </c>
      <c r="C264" s="438" t="s">
        <v>87</v>
      </c>
      <c r="D264" s="438" t="s">
        <v>391</v>
      </c>
      <c r="E264" s="476"/>
      <c r="F264" s="814">
        <v>5.38</v>
      </c>
      <c r="G264" s="439">
        <f t="shared" si="2"/>
        <v>0</v>
      </c>
      <c r="H264" s="130"/>
    </row>
    <row r="265" spans="1:12" ht="24.75" customHeight="1">
      <c r="A265" s="459" t="s">
        <v>2161</v>
      </c>
      <c r="B265" s="453" t="s">
        <v>2682</v>
      </c>
      <c r="C265" s="438" t="s">
        <v>87</v>
      </c>
      <c r="D265" s="438" t="s">
        <v>383</v>
      </c>
      <c r="E265" s="476">
        <v>0.1</v>
      </c>
      <c r="F265" s="814">
        <v>2.27</v>
      </c>
      <c r="G265" s="439">
        <f t="shared" si="2"/>
        <v>0.22</v>
      </c>
      <c r="H265" s="130"/>
      <c r="J265" s="289">
        <v>84</v>
      </c>
      <c r="K265" s="289">
        <v>73</v>
      </c>
      <c r="L265" s="289">
        <f>J265*K265</f>
        <v>6132</v>
      </c>
    </row>
    <row r="266" spans="1:12" ht="17.25" customHeight="1">
      <c r="A266" s="459" t="s">
        <v>2162</v>
      </c>
      <c r="B266" s="453" t="s">
        <v>2681</v>
      </c>
      <c r="C266" s="438" t="s">
        <v>87</v>
      </c>
      <c r="D266" s="438" t="s">
        <v>383</v>
      </c>
      <c r="E266" s="476">
        <v>0.1</v>
      </c>
      <c r="F266" s="814">
        <v>2.27</v>
      </c>
      <c r="G266" s="439">
        <f t="shared" si="2"/>
        <v>0.22</v>
      </c>
      <c r="H266" s="130"/>
      <c r="J266" s="122">
        <f>(43+56)*2</f>
        <v>198</v>
      </c>
    </row>
    <row r="267" spans="1:12" ht="15" customHeight="1">
      <c r="A267" s="1200">
        <v>88253</v>
      </c>
      <c r="B267" s="1119" t="s">
        <v>2163</v>
      </c>
      <c r="C267" s="438" t="s">
        <v>104</v>
      </c>
      <c r="D267" s="1121" t="s">
        <v>383</v>
      </c>
      <c r="E267" s="1212">
        <v>0.6</v>
      </c>
      <c r="F267" s="814">
        <f>'COMP AUX'!G304</f>
        <v>6.1099999999999994</v>
      </c>
      <c r="G267" s="439">
        <f t="shared" si="2"/>
        <v>3.66</v>
      </c>
      <c r="H267" s="130"/>
    </row>
    <row r="268" spans="1:12" ht="15" customHeight="1">
      <c r="A268" s="1160"/>
      <c r="B268" s="1120"/>
      <c r="C268" s="438" t="s">
        <v>87</v>
      </c>
      <c r="D268" s="1122"/>
      <c r="E268" s="1213"/>
      <c r="F268" s="814">
        <f>'COMP AUX'!G305</f>
        <v>3.92</v>
      </c>
      <c r="G268" s="439">
        <f>TRUNC(E267*F268,2)</f>
        <v>2.35</v>
      </c>
      <c r="H268" s="130"/>
    </row>
    <row r="269" spans="1:12" ht="15" customHeight="1">
      <c r="A269" s="1200">
        <v>88288</v>
      </c>
      <c r="B269" s="1119" t="s">
        <v>2164</v>
      </c>
      <c r="C269" s="438" t="s">
        <v>104</v>
      </c>
      <c r="D269" s="1121" t="s">
        <v>383</v>
      </c>
      <c r="E269" s="1212">
        <v>0.1</v>
      </c>
      <c r="F269" s="814">
        <f>'COMP AUX'!G270</f>
        <v>7.39</v>
      </c>
      <c r="G269" s="439">
        <f>TRUNC(E269*F269,2)</f>
        <v>0.73</v>
      </c>
      <c r="H269" s="130"/>
    </row>
    <row r="270" spans="1:12" ht="15" customHeight="1">
      <c r="A270" s="1160"/>
      <c r="B270" s="1178"/>
      <c r="C270" s="438" t="s">
        <v>87</v>
      </c>
      <c r="D270" s="1191"/>
      <c r="E270" s="1213"/>
      <c r="F270" s="814">
        <f>'COMP AUX'!G271</f>
        <v>3.92</v>
      </c>
      <c r="G270" s="439">
        <f>TRUNC(E269*F270,2)</f>
        <v>0.39</v>
      </c>
      <c r="H270" s="130"/>
    </row>
    <row r="271" spans="1:12" ht="15" customHeight="1">
      <c r="A271" s="1117" t="s">
        <v>1516</v>
      </c>
      <c r="B271" s="1119" t="s">
        <v>134</v>
      </c>
      <c r="C271" s="438" t="s">
        <v>104</v>
      </c>
      <c r="D271" s="1121" t="s">
        <v>383</v>
      </c>
      <c r="E271" s="1212"/>
      <c r="F271" s="814">
        <f>'COMP AUX'!G87</f>
        <v>14.92</v>
      </c>
      <c r="G271" s="439">
        <f>TRUNC(E271*F271,2)</f>
        <v>0</v>
      </c>
      <c r="H271" s="130"/>
    </row>
    <row r="272" spans="1:12" ht="15" customHeight="1">
      <c r="A272" s="1118"/>
      <c r="B272" s="1120"/>
      <c r="C272" s="438" t="s">
        <v>87</v>
      </c>
      <c r="D272" s="1122"/>
      <c r="E272" s="1213"/>
      <c r="F272" s="814">
        <f>'COMP AUX'!G88</f>
        <v>4.75</v>
      </c>
      <c r="G272" s="439">
        <f>TRUNC(E271*F272,2)</f>
        <v>0</v>
      </c>
      <c r="H272" s="130"/>
    </row>
    <row r="273" spans="1:9" ht="15" customHeight="1">
      <c r="A273" s="1141">
        <v>88316</v>
      </c>
      <c r="B273" s="1129" t="s">
        <v>110</v>
      </c>
      <c r="C273" s="293" t="s">
        <v>104</v>
      </c>
      <c r="D273" s="1153" t="s">
        <v>383</v>
      </c>
      <c r="E273" s="1225"/>
      <c r="F273" s="814">
        <f>'COMP AUX'!G104</f>
        <v>11.18</v>
      </c>
      <c r="G273" s="439">
        <f>TRUNC(E273*F273,2)</f>
        <v>0</v>
      </c>
      <c r="H273" s="130"/>
    </row>
    <row r="274" spans="1:9" ht="15" customHeight="1">
      <c r="A274" s="1142"/>
      <c r="B274" s="1130"/>
      <c r="C274" s="293" t="s">
        <v>87</v>
      </c>
      <c r="D274" s="1154"/>
      <c r="E274" s="1226"/>
      <c r="F274" s="823">
        <f>'COMP AUX'!G105</f>
        <v>4.7300000000000004</v>
      </c>
      <c r="G274" s="439">
        <f>TRUNC(E273*F274,2)</f>
        <v>0</v>
      </c>
    </row>
    <row r="275" spans="1:9" ht="15" customHeight="1">
      <c r="A275" s="134"/>
      <c r="B275" s="130"/>
      <c r="C275" s="130"/>
      <c r="D275" s="130"/>
      <c r="E275" s="484"/>
      <c r="F275" s="474" t="s">
        <v>90</v>
      </c>
      <c r="G275" s="439">
        <f>G267+G269+G271+G273</f>
        <v>4.3900000000000006</v>
      </c>
      <c r="H275" s="130"/>
    </row>
    <row r="276" spans="1:9" ht="15" customHeight="1">
      <c r="A276" s="130"/>
      <c r="B276" s="130"/>
      <c r="C276" s="130"/>
      <c r="D276" s="130"/>
      <c r="E276" s="130"/>
      <c r="F276" s="474" t="s">
        <v>92</v>
      </c>
      <c r="G276" s="439">
        <f>G261+G262+G263+G264+G265+G266+G268+G270+G272+G274</f>
        <v>3.18</v>
      </c>
      <c r="H276" s="130"/>
    </row>
    <row r="277" spans="1:9" ht="15" customHeight="1">
      <c r="A277" s="126" t="s">
        <v>94</v>
      </c>
      <c r="B277" s="126"/>
      <c r="C277" s="130"/>
      <c r="D277" s="130"/>
      <c r="E277" s="130"/>
      <c r="F277" s="474" t="s">
        <v>93</v>
      </c>
      <c r="G277" s="824">
        <f>SUM(G275:G276)</f>
        <v>7.57</v>
      </c>
      <c r="H277" s="130"/>
    </row>
    <row r="278" spans="1:9" ht="15" customHeight="1">
      <c r="A278" s="478" t="s">
        <v>95</v>
      </c>
      <c r="B278" s="127">
        <f>G277</f>
        <v>7.57</v>
      </c>
      <c r="C278" s="130"/>
      <c r="D278" s="130"/>
      <c r="E278" s="130"/>
      <c r="F278" s="130"/>
      <c r="G278" s="130"/>
      <c r="H278" s="130"/>
    </row>
    <row r="279" spans="1:9" ht="15" customHeight="1">
      <c r="A279" s="382" t="s">
        <v>2272</v>
      </c>
      <c r="B279" s="381"/>
      <c r="C279" s="130"/>
      <c r="D279" s="130"/>
      <c r="E279" s="130"/>
      <c r="F279" s="130"/>
      <c r="G279" s="130"/>
      <c r="H279" s="130"/>
    </row>
    <row r="280" spans="1:9" ht="15" customHeight="1">
      <c r="A280" s="443" t="s">
        <v>2311</v>
      </c>
      <c r="B280" s="381">
        <f>(B278+B279)*0.245</f>
        <v>1.8546500000000001</v>
      </c>
      <c r="C280" s="130"/>
      <c r="D280" s="130"/>
      <c r="E280" s="130"/>
      <c r="F280" s="130"/>
      <c r="G280" s="130"/>
      <c r="H280" s="130"/>
    </row>
    <row r="281" spans="1:9" ht="15" customHeight="1">
      <c r="A281" s="478" t="s">
        <v>98</v>
      </c>
      <c r="B281" s="475">
        <f>SUM(B278:B280)</f>
        <v>9.4246499999999997</v>
      </c>
      <c r="C281" s="130"/>
      <c r="D281" s="130"/>
      <c r="E281" s="130"/>
      <c r="F281" s="130"/>
      <c r="G281" s="130"/>
      <c r="H281" s="419"/>
      <c r="I281" s="122" t="s">
        <v>2273</v>
      </c>
    </row>
    <row r="282" spans="1:9">
      <c r="A282" s="362"/>
      <c r="B282" s="363"/>
      <c r="C282" s="364"/>
      <c r="D282" s="362"/>
      <c r="E282" s="363"/>
      <c r="F282" s="363"/>
      <c r="G282" s="363"/>
      <c r="H282" s="362"/>
    </row>
    <row r="284" spans="1:9">
      <c r="A284" s="122" t="s">
        <v>2709</v>
      </c>
      <c r="B284" s="462"/>
      <c r="C284" s="462"/>
      <c r="D284" s="462"/>
      <c r="E284" s="462"/>
      <c r="F284" s="462"/>
      <c r="G284" s="462"/>
    </row>
    <row r="285" spans="1:9">
      <c r="A285" s="148" t="s">
        <v>2421</v>
      </c>
      <c r="B285" s="130"/>
      <c r="C285" s="130"/>
      <c r="D285" s="130"/>
      <c r="E285" s="130"/>
      <c r="F285" s="130"/>
      <c r="G285" s="130"/>
    </row>
    <row r="286" spans="1:9" ht="26.25" customHeight="1">
      <c r="A286" s="465" t="s">
        <v>1549</v>
      </c>
      <c r="B286" s="481" t="s">
        <v>2650</v>
      </c>
      <c r="C286" s="477" t="s">
        <v>1316</v>
      </c>
      <c r="D286" s="481"/>
      <c r="G286" s="130"/>
    </row>
    <row r="287" spans="1:9" ht="20.399999999999999">
      <c r="A287" s="309" t="s">
        <v>30</v>
      </c>
      <c r="B287" s="354" t="s">
        <v>19</v>
      </c>
      <c r="C287" s="293" t="s">
        <v>81</v>
      </c>
      <c r="D287" s="294" t="s">
        <v>77</v>
      </c>
      <c r="E287" s="294" t="s">
        <v>82</v>
      </c>
      <c r="F287" s="295" t="s">
        <v>83</v>
      </c>
      <c r="G287" s="355" t="s">
        <v>84</v>
      </c>
    </row>
    <row r="288" spans="1:9" ht="14.1" customHeight="1">
      <c r="A288" s="1141" t="s">
        <v>1322</v>
      </c>
      <c r="B288" s="1129" t="s">
        <v>110</v>
      </c>
      <c r="C288" s="293" t="s">
        <v>104</v>
      </c>
      <c r="D288" s="1153" t="s">
        <v>383</v>
      </c>
      <c r="E288" s="1153">
        <v>3.956</v>
      </c>
      <c r="F288" s="458">
        <f>'COMP AUX'!G104</f>
        <v>11.18</v>
      </c>
      <c r="G288" s="439">
        <f>TRUNC(E288*F288,2)</f>
        <v>44.22</v>
      </c>
      <c r="H288" s="130"/>
    </row>
    <row r="289" spans="1:9" ht="14.1" customHeight="1">
      <c r="A289" s="1142"/>
      <c r="B289" s="1130"/>
      <c r="C289" s="293" t="s">
        <v>87</v>
      </c>
      <c r="D289" s="1154"/>
      <c r="E289" s="1154"/>
      <c r="F289" s="315">
        <f>'COMP AUX'!G105</f>
        <v>4.7300000000000004</v>
      </c>
      <c r="G289" s="439">
        <f>TRUNC(E288*F289,2)</f>
        <v>18.71</v>
      </c>
    </row>
    <row r="290" spans="1:9" ht="14.1" customHeight="1">
      <c r="A290" s="134"/>
      <c r="B290" s="130"/>
      <c r="C290" s="130"/>
      <c r="D290" s="130"/>
      <c r="E290" s="484"/>
      <c r="F290" s="474" t="s">
        <v>90</v>
      </c>
      <c r="G290" s="439">
        <f>G288</f>
        <v>44.22</v>
      </c>
      <c r="H290" s="130"/>
    </row>
    <row r="291" spans="1:9" ht="14.1" customHeight="1">
      <c r="A291" s="130"/>
      <c r="B291" s="130"/>
      <c r="C291" s="130"/>
      <c r="D291" s="130"/>
      <c r="E291" s="130"/>
      <c r="F291" s="474" t="s">
        <v>92</v>
      </c>
      <c r="G291" s="439">
        <f>G289</f>
        <v>18.71</v>
      </c>
      <c r="H291" s="130"/>
    </row>
    <row r="292" spans="1:9" ht="14.1" customHeight="1">
      <c r="A292" s="126" t="s">
        <v>94</v>
      </c>
      <c r="B292" s="126"/>
      <c r="C292" s="130"/>
      <c r="D292" s="130"/>
      <c r="E292" s="130"/>
      <c r="F292" s="474" t="s">
        <v>93</v>
      </c>
      <c r="G292" s="824">
        <f>SUM(G290:G291)</f>
        <v>62.93</v>
      </c>
      <c r="H292" s="130"/>
    </row>
    <row r="293" spans="1:9" ht="14.1" customHeight="1">
      <c r="A293" s="478" t="s">
        <v>95</v>
      </c>
      <c r="B293" s="479">
        <f>G292</f>
        <v>62.93</v>
      </c>
      <c r="C293" s="130"/>
      <c r="D293" s="130"/>
      <c r="E293" s="130"/>
      <c r="F293" s="130"/>
      <c r="G293" s="130"/>
      <c r="H293" s="130"/>
    </row>
    <row r="294" spans="1:9" ht="14.1" customHeight="1">
      <c r="A294" s="382" t="s">
        <v>2272</v>
      </c>
      <c r="B294" s="381"/>
      <c r="C294" s="130"/>
      <c r="D294" s="130"/>
      <c r="E294" s="130"/>
      <c r="F294" s="130"/>
      <c r="G294" s="130"/>
      <c r="H294" s="130"/>
    </row>
    <row r="295" spans="1:9" ht="14.1" customHeight="1">
      <c r="A295" s="443" t="s">
        <v>2311</v>
      </c>
      <c r="B295" s="381">
        <f>(B293+B294)*0.245</f>
        <v>15.41785</v>
      </c>
      <c r="C295" s="130"/>
      <c r="D295" s="130"/>
      <c r="E295" s="130"/>
      <c r="F295" s="130"/>
      <c r="G295" s="130"/>
      <c r="H295" s="130"/>
    </row>
    <row r="296" spans="1:9" ht="14.1" customHeight="1">
      <c r="A296" s="478" t="s">
        <v>98</v>
      </c>
      <c r="B296" s="480">
        <f>SUM(B293:B295)</f>
        <v>78.347849999999994</v>
      </c>
      <c r="C296" s="130"/>
      <c r="D296" s="130"/>
      <c r="E296" s="130"/>
      <c r="F296" s="130"/>
      <c r="G296" s="130"/>
      <c r="H296" s="419"/>
      <c r="I296" s="122" t="s">
        <v>2277</v>
      </c>
    </row>
    <row r="297" spans="1:9">
      <c r="A297" s="362"/>
      <c r="B297" s="363"/>
      <c r="C297" s="364"/>
      <c r="D297" s="362"/>
      <c r="E297" s="363"/>
      <c r="F297" s="363"/>
      <c r="G297" s="363"/>
      <c r="H297" s="362"/>
    </row>
    <row r="299" spans="1:9">
      <c r="A299" s="122" t="s">
        <v>2709</v>
      </c>
      <c r="B299" s="462"/>
      <c r="C299" s="462"/>
      <c r="D299" s="462"/>
      <c r="E299" s="462"/>
      <c r="F299" s="462"/>
      <c r="G299" s="462"/>
    </row>
    <row r="300" spans="1:9">
      <c r="A300" s="148" t="s">
        <v>2420</v>
      </c>
      <c r="B300" s="130"/>
      <c r="C300" s="130"/>
      <c r="D300" s="130"/>
      <c r="E300" s="130"/>
      <c r="F300" s="130"/>
      <c r="G300" s="130"/>
    </row>
    <row r="301" spans="1:9" ht="25.5" customHeight="1">
      <c r="A301" s="465" t="s">
        <v>1549</v>
      </c>
      <c r="B301" s="481" t="s">
        <v>2645</v>
      </c>
      <c r="C301" s="477" t="s">
        <v>1316</v>
      </c>
      <c r="D301" s="481"/>
      <c r="G301" s="130"/>
    </row>
    <row r="302" spans="1:9" ht="20.399999999999999">
      <c r="A302" s="309" t="s">
        <v>30</v>
      </c>
      <c r="B302" s="354" t="s">
        <v>19</v>
      </c>
      <c r="C302" s="293" t="s">
        <v>81</v>
      </c>
      <c r="D302" s="294" t="s">
        <v>77</v>
      </c>
      <c r="E302" s="294" t="s">
        <v>82</v>
      </c>
      <c r="F302" s="295" t="s">
        <v>83</v>
      </c>
      <c r="G302" s="355" t="s">
        <v>84</v>
      </c>
    </row>
    <row r="303" spans="1:9" ht="15" customHeight="1">
      <c r="A303" s="1117">
        <v>88309</v>
      </c>
      <c r="B303" s="1119" t="s">
        <v>118</v>
      </c>
      <c r="C303" s="438" t="s">
        <v>104</v>
      </c>
      <c r="D303" s="1121" t="s">
        <v>383</v>
      </c>
      <c r="E303" s="1121">
        <v>1.1890000000000001</v>
      </c>
      <c r="F303" s="996">
        <f>'COMP AUX'!G151</f>
        <v>15.020000000000001</v>
      </c>
      <c r="G303" s="439">
        <f>TRUNC(E303*F303,2)</f>
        <v>17.850000000000001</v>
      </c>
      <c r="H303" s="130"/>
    </row>
    <row r="304" spans="1:9" ht="15" customHeight="1">
      <c r="A304" s="1118"/>
      <c r="B304" s="1120"/>
      <c r="C304" s="438" t="s">
        <v>87</v>
      </c>
      <c r="D304" s="1122"/>
      <c r="E304" s="1122"/>
      <c r="F304" s="996">
        <f>'COMP AUX'!G152</f>
        <v>4.79</v>
      </c>
      <c r="G304" s="439">
        <f>TRUNC(E303*F304,2)</f>
        <v>5.69</v>
      </c>
      <c r="H304" s="130"/>
    </row>
    <row r="305" spans="1:9" ht="15" customHeight="1">
      <c r="A305" s="1141" t="s">
        <v>1322</v>
      </c>
      <c r="B305" s="1129" t="s">
        <v>110</v>
      </c>
      <c r="C305" s="293" t="s">
        <v>104</v>
      </c>
      <c r="D305" s="1153" t="s">
        <v>383</v>
      </c>
      <c r="E305" s="1153">
        <v>3.0529999999999999</v>
      </c>
      <c r="F305" s="997">
        <f>'COMP AUX'!G104</f>
        <v>11.18</v>
      </c>
      <c r="G305" s="439">
        <f>TRUNC(E305*F305,2)</f>
        <v>34.130000000000003</v>
      </c>
      <c r="H305" s="130"/>
    </row>
    <row r="306" spans="1:9" ht="15" customHeight="1">
      <c r="A306" s="1142"/>
      <c r="B306" s="1130"/>
      <c r="C306" s="293" t="s">
        <v>87</v>
      </c>
      <c r="D306" s="1154"/>
      <c r="E306" s="1154"/>
      <c r="F306" s="998">
        <f>'COMP AUX'!G105</f>
        <v>4.7300000000000004</v>
      </c>
      <c r="G306" s="439">
        <f>TRUNC(E305*F306,2)</f>
        <v>14.44</v>
      </c>
    </row>
    <row r="307" spans="1:9" ht="15" customHeight="1">
      <c r="A307" s="134"/>
      <c r="B307" s="130"/>
      <c r="C307" s="130"/>
      <c r="D307" s="130"/>
      <c r="E307" s="484"/>
      <c r="F307" s="474" t="s">
        <v>90</v>
      </c>
      <c r="G307" s="439">
        <f>G303+G305</f>
        <v>51.980000000000004</v>
      </c>
      <c r="H307" s="130"/>
    </row>
    <row r="308" spans="1:9" ht="15" customHeight="1">
      <c r="A308" s="130"/>
      <c r="B308" s="130"/>
      <c r="C308" s="130"/>
      <c r="D308" s="130"/>
      <c r="E308" s="130"/>
      <c r="F308" s="474" t="s">
        <v>92</v>
      </c>
      <c r="G308" s="439">
        <f>G304+G306</f>
        <v>20.13</v>
      </c>
      <c r="H308" s="130"/>
    </row>
    <row r="309" spans="1:9" ht="15" customHeight="1">
      <c r="A309" s="126" t="s">
        <v>94</v>
      </c>
      <c r="B309" s="126"/>
      <c r="C309" s="130"/>
      <c r="D309" s="130"/>
      <c r="E309" s="130"/>
      <c r="F309" s="474" t="s">
        <v>93</v>
      </c>
      <c r="G309" s="824">
        <f>SUM(G307:G308)</f>
        <v>72.11</v>
      </c>
      <c r="H309" s="130"/>
    </row>
    <row r="310" spans="1:9" ht="15" customHeight="1">
      <c r="A310" s="478" t="s">
        <v>95</v>
      </c>
      <c r="B310" s="479">
        <f>G309</f>
        <v>72.11</v>
      </c>
      <c r="C310" s="130"/>
      <c r="D310" s="130"/>
      <c r="E310" s="130"/>
      <c r="F310" s="130"/>
      <c r="G310" s="130"/>
      <c r="H310" s="130"/>
    </row>
    <row r="311" spans="1:9" ht="15" customHeight="1">
      <c r="A311" s="382" t="s">
        <v>2272</v>
      </c>
      <c r="B311" s="381"/>
      <c r="C311" s="130"/>
      <c r="D311" s="130"/>
      <c r="E311" s="130"/>
      <c r="F311" s="130"/>
      <c r="G311" s="130"/>
      <c r="H311" s="130"/>
    </row>
    <row r="312" spans="1:9" ht="15" customHeight="1">
      <c r="A312" s="443" t="s">
        <v>2311</v>
      </c>
      <c r="B312" s="381">
        <f>(B310+B311)*0.245</f>
        <v>17.66695</v>
      </c>
      <c r="C312" s="130"/>
      <c r="D312" s="130"/>
      <c r="E312" s="130"/>
      <c r="F312" s="130"/>
      <c r="G312" s="130"/>
      <c r="H312" s="130"/>
    </row>
    <row r="313" spans="1:9" ht="15" customHeight="1">
      <c r="A313" s="478" t="s">
        <v>98</v>
      </c>
      <c r="B313" s="480">
        <f>SUM(B310:B312)</f>
        <v>89.776949999999999</v>
      </c>
      <c r="C313" s="130"/>
      <c r="D313" s="130"/>
      <c r="E313" s="130"/>
      <c r="F313" s="130"/>
      <c r="G313" s="130"/>
      <c r="H313" s="419"/>
      <c r="I313" s="122" t="s">
        <v>2273</v>
      </c>
    </row>
    <row r="314" spans="1:9">
      <c r="A314" s="362"/>
      <c r="B314" s="363"/>
      <c r="C314" s="364"/>
      <c r="D314" s="362"/>
      <c r="E314" s="363"/>
      <c r="F314" s="363"/>
      <c r="G314" s="363"/>
      <c r="H314" s="362"/>
    </row>
    <row r="315" spans="1:9">
      <c r="B315" s="131"/>
      <c r="C315" s="131"/>
      <c r="D315" s="131"/>
      <c r="E315" s="131"/>
      <c r="F315" s="131"/>
      <c r="G315" s="131"/>
      <c r="H315" s="131"/>
    </row>
    <row r="316" spans="1:9">
      <c r="A316" s="826" t="s">
        <v>2709</v>
      </c>
      <c r="B316" s="462"/>
      <c r="C316" s="462"/>
      <c r="D316" s="462"/>
      <c r="E316" s="462"/>
      <c r="F316" s="462"/>
      <c r="G316" s="462"/>
    </row>
    <row r="317" spans="1:9">
      <c r="A317" s="148" t="s">
        <v>2417</v>
      </c>
      <c r="B317" s="130"/>
      <c r="C317" s="130"/>
      <c r="D317" s="130"/>
      <c r="E317" s="130"/>
      <c r="F317" s="130"/>
      <c r="G317" s="130"/>
    </row>
    <row r="318" spans="1:9" ht="17.25" customHeight="1">
      <c r="A318" s="481" t="s">
        <v>1549</v>
      </c>
      <c r="B318" s="481" t="s">
        <v>1694</v>
      </c>
      <c r="C318" s="477" t="s">
        <v>1316</v>
      </c>
      <c r="D318" s="481"/>
      <c r="E318" s="122"/>
      <c r="F318" s="122"/>
      <c r="G318" s="130"/>
    </row>
    <row r="319" spans="1:9" ht="20.399999999999999">
      <c r="A319" s="309" t="s">
        <v>30</v>
      </c>
      <c r="B319" s="354" t="s">
        <v>19</v>
      </c>
      <c r="C319" s="293" t="s">
        <v>81</v>
      </c>
      <c r="D319" s="294" t="s">
        <v>77</v>
      </c>
      <c r="E319" s="294" t="s">
        <v>82</v>
      </c>
      <c r="F319" s="295" t="s">
        <v>83</v>
      </c>
      <c r="G319" s="355" t="s">
        <v>84</v>
      </c>
    </row>
    <row r="320" spans="1:9" ht="15" customHeight="1">
      <c r="A320" s="1141" t="s">
        <v>1322</v>
      </c>
      <c r="B320" s="1129" t="s">
        <v>110</v>
      </c>
      <c r="C320" s="293" t="s">
        <v>104</v>
      </c>
      <c r="D320" s="1153" t="s">
        <v>383</v>
      </c>
      <c r="E320" s="1153">
        <v>2.3986000000000001</v>
      </c>
      <c r="F320" s="997">
        <f>'COMP AUX'!G104</f>
        <v>11.18</v>
      </c>
      <c r="G320" s="439">
        <f>TRUNC(E320*F320,2)</f>
        <v>26.81</v>
      </c>
      <c r="H320" s="130"/>
    </row>
    <row r="321" spans="1:9" ht="15" customHeight="1">
      <c r="A321" s="1142"/>
      <c r="B321" s="1130"/>
      <c r="C321" s="293" t="s">
        <v>87</v>
      </c>
      <c r="D321" s="1154"/>
      <c r="E321" s="1154"/>
      <c r="F321" s="998">
        <f>'COMP AUX'!G105</f>
        <v>4.7300000000000004</v>
      </c>
      <c r="G321" s="439">
        <f>TRUNC(E320*F321,2)</f>
        <v>11.34</v>
      </c>
    </row>
    <row r="322" spans="1:9" ht="15" customHeight="1">
      <c r="A322" s="134"/>
      <c r="B322" s="130"/>
      <c r="C322" s="130"/>
      <c r="D322" s="130"/>
      <c r="E322" s="484"/>
      <c r="F322" s="474" t="s">
        <v>90</v>
      </c>
      <c r="G322" s="439">
        <f>G320</f>
        <v>26.81</v>
      </c>
      <c r="H322" s="130"/>
    </row>
    <row r="323" spans="1:9" ht="15" customHeight="1">
      <c r="A323" s="130"/>
      <c r="B323" s="130"/>
      <c r="C323" s="130"/>
      <c r="D323" s="130"/>
      <c r="E323" s="130"/>
      <c r="F323" s="474" t="s">
        <v>92</v>
      </c>
      <c r="G323" s="439">
        <f>G321</f>
        <v>11.34</v>
      </c>
      <c r="H323" s="130"/>
    </row>
    <row r="324" spans="1:9" ht="15" customHeight="1">
      <c r="A324" s="482" t="s">
        <v>94</v>
      </c>
      <c r="B324" s="126"/>
      <c r="C324" s="130"/>
      <c r="D324" s="130"/>
      <c r="E324" s="130"/>
      <c r="F324" s="474" t="s">
        <v>93</v>
      </c>
      <c r="G324" s="829">
        <f>SUM(G322:G323)</f>
        <v>38.15</v>
      </c>
      <c r="H324" s="130"/>
    </row>
    <row r="325" spans="1:9" ht="15" customHeight="1">
      <c r="A325" s="478" t="s">
        <v>95</v>
      </c>
      <c r="B325" s="479">
        <f>G324</f>
        <v>38.15</v>
      </c>
      <c r="C325" s="130"/>
      <c r="D325" s="130"/>
      <c r="E325" s="130"/>
      <c r="F325" s="130"/>
      <c r="G325" s="130"/>
      <c r="H325" s="130"/>
    </row>
    <row r="326" spans="1:9" ht="15" customHeight="1">
      <c r="A326" s="382" t="s">
        <v>2272</v>
      </c>
      <c r="B326" s="381"/>
      <c r="C326" s="130"/>
      <c r="D326" s="130"/>
      <c r="E326" s="130"/>
      <c r="F326" s="130"/>
      <c r="G326" s="130"/>
      <c r="H326" s="130"/>
    </row>
    <row r="327" spans="1:9" ht="15" customHeight="1">
      <c r="A327" s="443" t="s">
        <v>2311</v>
      </c>
      <c r="B327" s="381">
        <f>(B325+B326)*0.245</f>
        <v>9.3467500000000001</v>
      </c>
      <c r="C327" s="130"/>
      <c r="D327" s="130"/>
      <c r="E327" s="130"/>
      <c r="F327" s="130"/>
      <c r="G327" s="130"/>
      <c r="H327" s="130"/>
    </row>
    <row r="328" spans="1:9" ht="15" customHeight="1">
      <c r="A328" s="478" t="s">
        <v>98</v>
      </c>
      <c r="B328" s="480">
        <f>SUM(B325:B327)</f>
        <v>47.496749999999999</v>
      </c>
      <c r="C328" s="130"/>
      <c r="D328" s="130"/>
      <c r="E328" s="130"/>
      <c r="F328" s="130"/>
      <c r="G328" s="130"/>
      <c r="H328" s="419"/>
      <c r="I328" s="122" t="s">
        <v>2273</v>
      </c>
    </row>
    <row r="329" spans="1:9">
      <c r="A329" s="362"/>
      <c r="B329" s="363"/>
      <c r="C329" s="364"/>
      <c r="D329" s="362"/>
      <c r="E329" s="363"/>
      <c r="F329" s="363"/>
      <c r="G329" s="363"/>
      <c r="H329" s="362"/>
    </row>
    <row r="330" spans="1:9">
      <c r="B330" s="792"/>
      <c r="C330" s="792"/>
      <c r="D330" s="792"/>
      <c r="E330" s="792"/>
      <c r="F330" s="792"/>
      <c r="G330" s="792"/>
      <c r="H330" s="792"/>
    </row>
    <row r="331" spans="1:9">
      <c r="A331" s="122" t="s">
        <v>2709</v>
      </c>
      <c r="B331" s="462"/>
      <c r="C331" s="462"/>
      <c r="D331" s="462"/>
      <c r="E331" s="462"/>
      <c r="F331" s="462"/>
      <c r="G331" s="462"/>
    </row>
    <row r="332" spans="1:9" ht="13.5" customHeight="1">
      <c r="A332" s="148" t="s">
        <v>2711</v>
      </c>
      <c r="B332" s="785"/>
      <c r="C332" s="785"/>
      <c r="D332" s="785"/>
      <c r="E332" s="785"/>
      <c r="F332" s="785"/>
      <c r="G332" s="785"/>
    </row>
    <row r="333" spans="1:9" ht="36.75" customHeight="1">
      <c r="A333" s="481" t="s">
        <v>1549</v>
      </c>
      <c r="B333" s="481" t="s">
        <v>2712</v>
      </c>
      <c r="C333" s="477" t="s">
        <v>2713</v>
      </c>
      <c r="F333" s="122"/>
      <c r="G333" s="785"/>
    </row>
    <row r="334" spans="1:9" ht="20.399999999999999">
      <c r="A334" s="790" t="s">
        <v>30</v>
      </c>
      <c r="B334" s="354" t="s">
        <v>19</v>
      </c>
      <c r="C334" s="293" t="s">
        <v>81</v>
      </c>
      <c r="D334" s="780" t="s">
        <v>77</v>
      </c>
      <c r="E334" s="780" t="s">
        <v>82</v>
      </c>
      <c r="F334" s="295" t="s">
        <v>83</v>
      </c>
      <c r="G334" s="355" t="s">
        <v>84</v>
      </c>
    </row>
    <row r="335" spans="1:9">
      <c r="A335" s="1141">
        <v>5678</v>
      </c>
      <c r="B335" s="1129" t="s">
        <v>2714</v>
      </c>
      <c r="C335" s="787" t="s">
        <v>104</v>
      </c>
      <c r="D335" s="1121" t="s">
        <v>383</v>
      </c>
      <c r="E335" s="1153">
        <v>1.9699999999999999E-2</v>
      </c>
      <c r="F335" s="1022">
        <f>'COMP AUX'!G472</f>
        <v>14.43</v>
      </c>
      <c r="G335" s="312">
        <f>TRUNC(E335*F335,2)</f>
        <v>0.28000000000000003</v>
      </c>
    </row>
    <row r="336" spans="1:9" ht="21" customHeight="1">
      <c r="A336" s="1142"/>
      <c r="B336" s="1130"/>
      <c r="C336" s="787" t="s">
        <v>87</v>
      </c>
      <c r="D336" s="1122"/>
      <c r="E336" s="1154"/>
      <c r="F336" s="1022">
        <f>'COMP AUX'!G473</f>
        <v>67</v>
      </c>
      <c r="G336" s="312">
        <f>TRUNC(E335*F336,2)</f>
        <v>1.31</v>
      </c>
    </row>
    <row r="337" spans="1:7">
      <c r="A337" s="1141">
        <v>53786</v>
      </c>
      <c r="B337" s="1129" t="s">
        <v>3273</v>
      </c>
      <c r="C337" s="787" t="s">
        <v>104</v>
      </c>
      <c r="D337" s="1121" t="s">
        <v>383</v>
      </c>
      <c r="E337" s="1153">
        <v>2.9399999999999999E-2</v>
      </c>
      <c r="F337" s="1022">
        <f>'COMP AUX'!G497</f>
        <v>14.43</v>
      </c>
      <c r="G337" s="312">
        <f>TRUNC(E337*F337,2)</f>
        <v>0.42</v>
      </c>
    </row>
    <row r="338" spans="1:7" ht="23.25" customHeight="1">
      <c r="A338" s="1142"/>
      <c r="B338" s="1130"/>
      <c r="C338" s="787" t="s">
        <v>87</v>
      </c>
      <c r="D338" s="1122"/>
      <c r="E338" s="1154"/>
      <c r="F338" s="1022">
        <f>'COMP AUX'!G498</f>
        <v>20.149999999999999</v>
      </c>
      <c r="G338" s="312">
        <f>TRUNC(E337*F338,2)</f>
        <v>0.59</v>
      </c>
    </row>
    <row r="339" spans="1:7" ht="19.5" customHeight="1">
      <c r="A339" s="1141">
        <v>87316</v>
      </c>
      <c r="B339" s="1129" t="s">
        <v>2729</v>
      </c>
      <c r="C339" s="787" t="s">
        <v>104</v>
      </c>
      <c r="D339" s="1153" t="s">
        <v>438</v>
      </c>
      <c r="E339" s="1153" t="s">
        <v>2735</v>
      </c>
      <c r="F339" s="1045">
        <f>'COMP AUX'!G1696</f>
        <v>47.69</v>
      </c>
      <c r="G339" s="312">
        <v>6.6766000000000006E-2</v>
      </c>
    </row>
    <row r="340" spans="1:7" ht="13.5" customHeight="1">
      <c r="A340" s="1142"/>
      <c r="B340" s="1130"/>
      <c r="C340" s="787" t="s">
        <v>87</v>
      </c>
      <c r="D340" s="1154"/>
      <c r="E340" s="1154"/>
      <c r="F340" s="1045">
        <f>'COMP AUX'!G1697</f>
        <v>257.14</v>
      </c>
      <c r="G340" s="312">
        <v>0.35999599999999998</v>
      </c>
    </row>
    <row r="341" spans="1:7">
      <c r="A341" s="1141">
        <v>88309</v>
      </c>
      <c r="B341" s="1187" t="s">
        <v>118</v>
      </c>
      <c r="C341" s="787" t="s">
        <v>104</v>
      </c>
      <c r="D341" s="1121" t="s">
        <v>383</v>
      </c>
      <c r="E341" s="1153">
        <v>6.0895000000000001</v>
      </c>
      <c r="F341" s="1046">
        <f>'COMP AUX'!G151</f>
        <v>15.020000000000001</v>
      </c>
      <c r="G341" s="312">
        <f t="shared" ref="G341" si="3">TRUNC(E341*F341,2)</f>
        <v>91.46</v>
      </c>
    </row>
    <row r="342" spans="1:7" ht="15" customHeight="1">
      <c r="A342" s="1142"/>
      <c r="B342" s="1188"/>
      <c r="C342" s="787" t="s">
        <v>87</v>
      </c>
      <c r="D342" s="1122"/>
      <c r="E342" s="1154"/>
      <c r="F342" s="1046">
        <f>'COMP AUX'!G152</f>
        <v>4.79</v>
      </c>
      <c r="G342" s="312">
        <f>TRUNC(E341*F342,2)</f>
        <v>29.16</v>
      </c>
    </row>
    <row r="343" spans="1:7">
      <c r="A343" s="1141" t="s">
        <v>2736</v>
      </c>
      <c r="B343" s="1187" t="s">
        <v>2737</v>
      </c>
      <c r="C343" s="787" t="s">
        <v>104</v>
      </c>
      <c r="D343" s="1121" t="s">
        <v>383</v>
      </c>
      <c r="E343" s="1153">
        <v>6.0895000000000001</v>
      </c>
      <c r="F343" s="1046">
        <f>'COMP AUX'!G104</f>
        <v>11.18</v>
      </c>
      <c r="G343" s="312">
        <f>TRUNC(E343*F343,2)</f>
        <v>68.08</v>
      </c>
    </row>
    <row r="344" spans="1:7" ht="15" customHeight="1">
      <c r="A344" s="1142"/>
      <c r="B344" s="1188"/>
      <c r="C344" s="787" t="s">
        <v>87</v>
      </c>
      <c r="D344" s="1122"/>
      <c r="E344" s="1154"/>
      <c r="F344" s="1046">
        <f>'COMP AUX'!G105</f>
        <v>4.7300000000000004</v>
      </c>
      <c r="G344" s="312">
        <f t="shared" ref="G344" si="4">TRUNC(E343*F344,2)</f>
        <v>28.8</v>
      </c>
    </row>
    <row r="345" spans="1:7">
      <c r="A345" s="1141">
        <v>88628</v>
      </c>
      <c r="B345" s="1129" t="s">
        <v>2739</v>
      </c>
      <c r="C345" s="787" t="s">
        <v>104</v>
      </c>
      <c r="D345" s="1121" t="s">
        <v>438</v>
      </c>
      <c r="E345" s="1153">
        <v>0.11559999999999999</v>
      </c>
      <c r="F345" s="1046">
        <f>'COMP AUX'!G1711</f>
        <v>35.15</v>
      </c>
      <c r="G345" s="312">
        <f>TRUNC(E345*F345,2)</f>
        <v>4.0599999999999996</v>
      </c>
    </row>
    <row r="346" spans="1:7" ht="15" customHeight="1">
      <c r="A346" s="1142"/>
      <c r="B346" s="1130"/>
      <c r="C346" s="787" t="s">
        <v>87</v>
      </c>
      <c r="D346" s="1122"/>
      <c r="E346" s="1154"/>
      <c r="F346" s="1046">
        <f>'COMP AUX'!G1712</f>
        <v>319.35000000000002</v>
      </c>
      <c r="G346" s="312">
        <f>TRUNC(E345*F346,2)</f>
        <v>36.909999999999997</v>
      </c>
    </row>
    <row r="347" spans="1:7">
      <c r="A347" s="1141">
        <v>94097</v>
      </c>
      <c r="B347" s="1129" t="s">
        <v>2740</v>
      </c>
      <c r="C347" s="787" t="s">
        <v>104</v>
      </c>
      <c r="D347" s="1121" t="s">
        <v>1553</v>
      </c>
      <c r="E347" s="1153">
        <v>0.81</v>
      </c>
      <c r="F347" s="1046">
        <f>'COMP AUX'!G1738</f>
        <v>1.56</v>
      </c>
      <c r="G347" s="312">
        <f>TRUNC(E347*F347,2)</f>
        <v>1.26</v>
      </c>
    </row>
    <row r="348" spans="1:7" ht="15" customHeight="1">
      <c r="A348" s="1142"/>
      <c r="B348" s="1130"/>
      <c r="C348" s="787" t="s">
        <v>87</v>
      </c>
      <c r="D348" s="1122"/>
      <c r="E348" s="1154"/>
      <c r="F348" s="1046">
        <f>'COMP AUX'!G1739</f>
        <v>3.06</v>
      </c>
      <c r="G348" s="312">
        <f>TRUNC(E347*F348,2)</f>
        <v>2.4700000000000002</v>
      </c>
    </row>
    <row r="349" spans="1:7" ht="22.5" customHeight="1">
      <c r="A349" s="1187">
        <v>94970</v>
      </c>
      <c r="B349" s="1129" t="s">
        <v>2744</v>
      </c>
      <c r="C349" s="787" t="s">
        <v>104</v>
      </c>
      <c r="D349" s="1121" t="s">
        <v>438</v>
      </c>
      <c r="E349" s="1153">
        <v>7.4399999999999994E-2</v>
      </c>
      <c r="F349" s="1046">
        <f>'COMP AUX'!G907</f>
        <v>35.8538</v>
      </c>
      <c r="G349" s="312">
        <f>TRUNC(E349*F349,2)</f>
        <v>2.66</v>
      </c>
    </row>
    <row r="350" spans="1:7" ht="15" customHeight="1">
      <c r="A350" s="1188"/>
      <c r="B350" s="1130"/>
      <c r="C350" s="787" t="s">
        <v>87</v>
      </c>
      <c r="D350" s="1122"/>
      <c r="E350" s="1154"/>
      <c r="F350" s="1046">
        <f>'COMP AUX'!G908</f>
        <v>272.17680000000001</v>
      </c>
      <c r="G350" s="312">
        <f t="shared" ref="G350" si="5">TRUNC(E349*F350,2)</f>
        <v>20.239999999999998</v>
      </c>
    </row>
    <row r="351" spans="1:7" ht="15" customHeight="1">
      <c r="A351" s="844"/>
      <c r="B351" s="845"/>
      <c r="C351" s="787" t="s">
        <v>104</v>
      </c>
      <c r="D351" s="1121" t="s">
        <v>438</v>
      </c>
      <c r="E351" s="1153">
        <v>4.48E-2</v>
      </c>
      <c r="F351" s="1046">
        <f>'COMP AUX'!G950</f>
        <v>907.16</v>
      </c>
      <c r="G351" s="312">
        <f>TRUNC(E351*F351,2)</f>
        <v>40.64</v>
      </c>
    </row>
    <row r="352" spans="1:7" ht="23.25" customHeight="1">
      <c r="A352" s="844">
        <v>97735</v>
      </c>
      <c r="B352" s="845" t="s">
        <v>2747</v>
      </c>
      <c r="C352" s="787" t="s">
        <v>87</v>
      </c>
      <c r="D352" s="1122"/>
      <c r="E352" s="1154"/>
      <c r="F352" s="1047">
        <f>'COMP AUX'!G951</f>
        <v>826.78</v>
      </c>
      <c r="G352" s="312">
        <f>TRUNC(E351*F352,2)</f>
        <v>37.03</v>
      </c>
    </row>
    <row r="353" spans="1:9" ht="14.1" customHeight="1">
      <c r="A353" s="790">
        <v>7258</v>
      </c>
      <c r="B353" s="791" t="s">
        <v>2302</v>
      </c>
      <c r="C353" s="293" t="s">
        <v>87</v>
      </c>
      <c r="D353" s="780" t="s">
        <v>2713</v>
      </c>
      <c r="E353" s="781">
        <v>166.0916</v>
      </c>
      <c r="F353" s="997">
        <v>0.37</v>
      </c>
      <c r="G353" s="439">
        <f t="shared" ref="G353" si="6">TRUNC(E353*F353,2)</f>
        <v>61.45</v>
      </c>
      <c r="H353" s="785"/>
    </row>
    <row r="354" spans="1:9" ht="14.1" customHeight="1">
      <c r="A354" s="784"/>
      <c r="B354" s="785"/>
      <c r="C354" s="785"/>
      <c r="D354" s="785"/>
      <c r="E354" s="484"/>
      <c r="F354" s="474" t="s">
        <v>90</v>
      </c>
      <c r="G354" s="439">
        <f>G335+G337+G339+G341+G343+G345+G347+G349+G351</f>
        <v>208.92676599999999</v>
      </c>
      <c r="H354" s="785"/>
    </row>
    <row r="355" spans="1:9" ht="14.1" customHeight="1">
      <c r="A355" s="785"/>
      <c r="B355" s="785"/>
      <c r="C355" s="785"/>
      <c r="D355" s="785"/>
      <c r="E355" s="785"/>
      <c r="F355" s="474" t="s">
        <v>92</v>
      </c>
      <c r="G355" s="414">
        <f>G336+G338+G340+G342+G344+G346+G348+G350+G352+G353</f>
        <v>218.319996</v>
      </c>
      <c r="H355" s="785"/>
    </row>
    <row r="356" spans="1:9" ht="14.1" customHeight="1">
      <c r="A356" s="482" t="s">
        <v>94</v>
      </c>
      <c r="B356" s="126"/>
      <c r="C356" s="785"/>
      <c r="D356" s="785"/>
      <c r="E356" s="785"/>
      <c r="F356" s="474" t="s">
        <v>93</v>
      </c>
      <c r="G356" s="829">
        <f>SUM(G354:G355)</f>
        <v>427.24676199999999</v>
      </c>
      <c r="H356" s="785"/>
    </row>
    <row r="357" spans="1:9" ht="14.1" customHeight="1">
      <c r="A357" s="478" t="s">
        <v>95</v>
      </c>
      <c r="B357" s="479">
        <f>G356</f>
        <v>427.24676199999999</v>
      </c>
      <c r="C357" s="785"/>
      <c r="D357" s="785"/>
      <c r="E357" s="785"/>
      <c r="F357" s="785"/>
      <c r="G357" s="785"/>
      <c r="H357" s="785"/>
    </row>
    <row r="358" spans="1:9" ht="14.1" customHeight="1">
      <c r="A358" s="382" t="s">
        <v>2272</v>
      </c>
      <c r="B358" s="381"/>
      <c r="C358" s="785"/>
      <c r="D358" s="785"/>
      <c r="E358" s="785"/>
      <c r="F358" s="785"/>
      <c r="G358" s="785"/>
      <c r="H358" s="785"/>
    </row>
    <row r="359" spans="1:9" ht="14.1" customHeight="1">
      <c r="A359" s="443" t="s">
        <v>2311</v>
      </c>
      <c r="B359" s="381">
        <f>(B357+B358)*0.245</f>
        <v>104.67545668999999</v>
      </c>
      <c r="C359" s="785"/>
      <c r="D359" s="785"/>
      <c r="E359" s="785"/>
      <c r="F359" s="785"/>
      <c r="G359" s="785"/>
      <c r="H359" s="785"/>
    </row>
    <row r="360" spans="1:9" ht="14.1" customHeight="1">
      <c r="A360" s="478" t="s">
        <v>98</v>
      </c>
      <c r="B360" s="480">
        <f>SUM(B357:B359)</f>
        <v>531.92221869000002</v>
      </c>
      <c r="C360" s="785"/>
      <c r="D360" s="785"/>
      <c r="E360" s="785"/>
      <c r="F360" s="785"/>
      <c r="G360" s="785"/>
      <c r="H360" s="419"/>
      <c r="I360" s="122" t="s">
        <v>2273</v>
      </c>
    </row>
    <row r="361" spans="1:9">
      <c r="A361" s="362"/>
      <c r="B361" s="363"/>
      <c r="C361" s="364"/>
      <c r="D361" s="362"/>
      <c r="E361" s="363"/>
      <c r="F361" s="363"/>
      <c r="G361" s="363"/>
      <c r="H361" s="362"/>
    </row>
    <row r="362" spans="1:9">
      <c r="B362" s="1031"/>
      <c r="C362" s="1031"/>
      <c r="D362" s="1031"/>
      <c r="E362" s="1031"/>
      <c r="F362" s="1031"/>
      <c r="G362" s="1031"/>
      <c r="H362" s="1031"/>
    </row>
    <row r="363" spans="1:9">
      <c r="A363" s="122" t="s">
        <v>2709</v>
      </c>
      <c r="B363" s="462"/>
      <c r="C363" s="462"/>
      <c r="D363" s="462"/>
      <c r="E363" s="462"/>
      <c r="F363" s="462"/>
      <c r="G363" s="462"/>
    </row>
    <row r="364" spans="1:9" ht="13.5" customHeight="1">
      <c r="A364" s="148" t="s">
        <v>3275</v>
      </c>
      <c r="B364" s="1029"/>
      <c r="C364" s="1029"/>
      <c r="D364" s="1029"/>
      <c r="E364" s="1029"/>
      <c r="F364" s="1029"/>
      <c r="G364" s="1029"/>
    </row>
    <row r="365" spans="1:9" ht="36.75" customHeight="1">
      <c r="A365" s="481" t="s">
        <v>1549</v>
      </c>
      <c r="B365" s="481" t="s">
        <v>3276</v>
      </c>
      <c r="C365" s="477" t="s">
        <v>2713</v>
      </c>
      <c r="F365" s="122"/>
      <c r="G365" s="1029"/>
    </row>
    <row r="366" spans="1:9" ht="20.399999999999999">
      <c r="A366" s="1027" t="s">
        <v>30</v>
      </c>
      <c r="B366" s="354" t="s">
        <v>19</v>
      </c>
      <c r="C366" s="293" t="s">
        <v>81</v>
      </c>
      <c r="D366" s="1018" t="s">
        <v>77</v>
      </c>
      <c r="E366" s="1018" t="s">
        <v>82</v>
      </c>
      <c r="F366" s="1023" t="s">
        <v>83</v>
      </c>
      <c r="G366" s="355" t="s">
        <v>84</v>
      </c>
    </row>
    <row r="367" spans="1:9">
      <c r="A367" s="1141">
        <v>5678</v>
      </c>
      <c r="B367" s="1129" t="s">
        <v>2714</v>
      </c>
      <c r="C367" s="943" t="s">
        <v>104</v>
      </c>
      <c r="D367" s="1121" t="s">
        <v>383</v>
      </c>
      <c r="E367" s="1153">
        <v>1.9699999999999999E-2</v>
      </c>
      <c r="F367" s="1022">
        <f>'COMP AUX'!G472</f>
        <v>14.43</v>
      </c>
      <c r="G367" s="312">
        <f>TRUNC(E367*F367,2)</f>
        <v>0.28000000000000003</v>
      </c>
    </row>
    <row r="368" spans="1:9" ht="21" customHeight="1">
      <c r="A368" s="1142"/>
      <c r="B368" s="1130"/>
      <c r="C368" s="943" t="s">
        <v>87</v>
      </c>
      <c r="D368" s="1122"/>
      <c r="E368" s="1154"/>
      <c r="F368" s="1022">
        <f>'COMP AUX'!G473</f>
        <v>67</v>
      </c>
      <c r="G368" s="312">
        <f>TRUNC(E367*F368,2)</f>
        <v>1.31</v>
      </c>
    </row>
    <row r="369" spans="1:7">
      <c r="A369" s="1141">
        <v>5679</v>
      </c>
      <c r="B369" s="1129" t="s">
        <v>3277</v>
      </c>
      <c r="C369" s="943" t="s">
        <v>104</v>
      </c>
      <c r="D369" s="1121" t="s">
        <v>383</v>
      </c>
      <c r="E369" s="1153">
        <v>6.6400000000000001E-2</v>
      </c>
      <c r="F369" s="1022">
        <f>'COMP AUX'!G497</f>
        <v>14.43</v>
      </c>
      <c r="G369" s="312">
        <f>TRUNC(E369*F369,2)</f>
        <v>0.95</v>
      </c>
    </row>
    <row r="370" spans="1:7" ht="23.25" customHeight="1">
      <c r="A370" s="1142"/>
      <c r="B370" s="1130"/>
      <c r="C370" s="943" t="s">
        <v>87</v>
      </c>
      <c r="D370" s="1122"/>
      <c r="E370" s="1154"/>
      <c r="F370" s="1022">
        <f>'COMP AUX'!G498</f>
        <v>20.149999999999999</v>
      </c>
      <c r="G370" s="312">
        <f>TRUNC(E369*F370,2)</f>
        <v>1.33</v>
      </c>
    </row>
    <row r="371" spans="1:7" ht="19.5" customHeight="1">
      <c r="A371" s="1141">
        <v>87316</v>
      </c>
      <c r="B371" s="1129" t="s">
        <v>2729</v>
      </c>
      <c r="C371" s="943" t="s">
        <v>104</v>
      </c>
      <c r="D371" s="1153" t="s">
        <v>438</v>
      </c>
      <c r="E371" s="1153">
        <v>2.0999999999999999E-3</v>
      </c>
      <c r="F371" s="1045">
        <f>'COMP AUX'!G1696</f>
        <v>47.69</v>
      </c>
      <c r="G371" s="312">
        <v>6.6766000000000006E-2</v>
      </c>
    </row>
    <row r="372" spans="1:7" ht="13.5" customHeight="1">
      <c r="A372" s="1142"/>
      <c r="B372" s="1130"/>
      <c r="C372" s="943" t="s">
        <v>87</v>
      </c>
      <c r="D372" s="1154"/>
      <c r="E372" s="1154"/>
      <c r="F372" s="1045">
        <f>'COMP AUX'!G1697</f>
        <v>257.14</v>
      </c>
      <c r="G372" s="312">
        <v>0.35999599999999998</v>
      </c>
    </row>
    <row r="373" spans="1:7">
      <c r="A373" s="1141">
        <v>88309</v>
      </c>
      <c r="B373" s="1187" t="s">
        <v>118</v>
      </c>
      <c r="C373" s="943" t="s">
        <v>104</v>
      </c>
      <c r="D373" s="1121" t="s">
        <v>383</v>
      </c>
      <c r="E373" s="1153">
        <v>10.0778</v>
      </c>
      <c r="F373" s="1046">
        <f>'COMP AUX'!G151</f>
        <v>15.020000000000001</v>
      </c>
      <c r="G373" s="312">
        <f t="shared" ref="G373" si="7">TRUNC(E373*F373,2)</f>
        <v>151.36000000000001</v>
      </c>
    </row>
    <row r="374" spans="1:7" ht="15" customHeight="1">
      <c r="A374" s="1142"/>
      <c r="B374" s="1188"/>
      <c r="C374" s="943" t="s">
        <v>87</v>
      </c>
      <c r="D374" s="1122"/>
      <c r="E374" s="1154"/>
      <c r="F374" s="1046">
        <f>'COMP AUX'!G152</f>
        <v>4.79</v>
      </c>
      <c r="G374" s="312">
        <f>TRUNC(E373*F374,2)</f>
        <v>48.27</v>
      </c>
    </row>
    <row r="375" spans="1:7">
      <c r="A375" s="1141" t="s">
        <v>2736</v>
      </c>
      <c r="B375" s="1187" t="s">
        <v>2737</v>
      </c>
      <c r="C375" s="943" t="s">
        <v>104</v>
      </c>
      <c r="D375" s="1121" t="s">
        <v>383</v>
      </c>
      <c r="E375" s="1153">
        <v>10.0778</v>
      </c>
      <c r="F375" s="1046">
        <f>'COMP AUX'!G104</f>
        <v>11.18</v>
      </c>
      <c r="G375" s="312">
        <f>TRUNC(E375*F375,2)</f>
        <v>112.66</v>
      </c>
    </row>
    <row r="376" spans="1:7" ht="15" customHeight="1">
      <c r="A376" s="1142"/>
      <c r="B376" s="1188"/>
      <c r="C376" s="943" t="s">
        <v>87</v>
      </c>
      <c r="D376" s="1122"/>
      <c r="E376" s="1154"/>
      <c r="F376" s="1046">
        <f>'COMP AUX'!G105</f>
        <v>4.7300000000000004</v>
      </c>
      <c r="G376" s="312">
        <f t="shared" ref="G376" si="8">TRUNC(E375*F376,2)</f>
        <v>47.66</v>
      </c>
    </row>
    <row r="377" spans="1:7">
      <c r="A377" s="1141">
        <v>88628</v>
      </c>
      <c r="B377" s="1129" t="s">
        <v>2739</v>
      </c>
      <c r="C377" s="943" t="s">
        <v>104</v>
      </c>
      <c r="D377" s="1121" t="s">
        <v>438</v>
      </c>
      <c r="E377" s="1153">
        <v>0.20499999999999999</v>
      </c>
      <c r="F377" s="1046">
        <f>'COMP AUX'!G1711</f>
        <v>35.15</v>
      </c>
      <c r="G377" s="312">
        <f>TRUNC(E377*F377,2)</f>
        <v>7.2</v>
      </c>
    </row>
    <row r="378" spans="1:7" ht="15" customHeight="1">
      <c r="A378" s="1142"/>
      <c r="B378" s="1130"/>
      <c r="C378" s="943" t="s">
        <v>87</v>
      </c>
      <c r="D378" s="1122"/>
      <c r="E378" s="1154"/>
      <c r="F378" s="1046">
        <f>'COMP AUX'!G1712</f>
        <v>319.35000000000002</v>
      </c>
      <c r="G378" s="312">
        <f>TRUNC(E377*F378,2)</f>
        <v>65.459999999999994</v>
      </c>
    </row>
    <row r="379" spans="1:7">
      <c r="A379" s="1141" t="s">
        <v>2777</v>
      </c>
      <c r="B379" s="1151" t="s">
        <v>3278</v>
      </c>
      <c r="C379" s="943" t="s">
        <v>104</v>
      </c>
      <c r="D379" s="1121" t="s">
        <v>1553</v>
      </c>
      <c r="E379" s="1153">
        <v>1.69</v>
      </c>
      <c r="F379" s="1046">
        <f>'COMP AUX'!G1753</f>
        <v>1.6400000000000001</v>
      </c>
      <c r="G379" s="312">
        <f>TRUNC(E379*F379,2)</f>
        <v>2.77</v>
      </c>
    </row>
    <row r="380" spans="1:7" ht="15" customHeight="1">
      <c r="A380" s="1142"/>
      <c r="B380" s="1152"/>
      <c r="C380" s="943" t="s">
        <v>87</v>
      </c>
      <c r="D380" s="1122"/>
      <c r="E380" s="1154"/>
      <c r="F380" s="1046">
        <f>'COMP AUX'!G1754</f>
        <v>0.69000000000000006</v>
      </c>
      <c r="G380" s="312">
        <f>TRUNC(E379*F380,2)</f>
        <v>1.1599999999999999</v>
      </c>
    </row>
    <row r="381" spans="1:7" ht="22.5" customHeight="1">
      <c r="A381" s="1187">
        <v>94970</v>
      </c>
      <c r="B381" s="1129" t="s">
        <v>2744</v>
      </c>
      <c r="C381" s="943" t="s">
        <v>104</v>
      </c>
      <c r="D381" s="1121" t="s">
        <v>438</v>
      </c>
      <c r="E381" s="1153">
        <v>0.16750000000000001</v>
      </c>
      <c r="F381" s="1046">
        <f>'COMP AUX'!G907</f>
        <v>35.8538</v>
      </c>
      <c r="G381" s="312">
        <f>TRUNC(E381*F381,2)</f>
        <v>6</v>
      </c>
    </row>
    <row r="382" spans="1:7" ht="15" customHeight="1">
      <c r="A382" s="1188"/>
      <c r="B382" s="1130"/>
      <c r="C382" s="943" t="s">
        <v>87</v>
      </c>
      <c r="D382" s="1122"/>
      <c r="E382" s="1154"/>
      <c r="F382" s="1046">
        <f>'COMP AUX'!G908</f>
        <v>272.17680000000001</v>
      </c>
      <c r="G382" s="312">
        <f t="shared" ref="G382" si="9">TRUNC(E381*F382,2)</f>
        <v>45.58</v>
      </c>
    </row>
    <row r="383" spans="1:7" ht="15" customHeight="1">
      <c r="A383" s="844"/>
      <c r="B383" s="845"/>
      <c r="C383" s="943" t="s">
        <v>104</v>
      </c>
      <c r="D383" s="1121" t="s">
        <v>438</v>
      </c>
      <c r="E383" s="1153">
        <v>0.1008</v>
      </c>
      <c r="F383" s="1046">
        <f>'COMP AUX'!G963</f>
        <v>263.75</v>
      </c>
      <c r="G383" s="312">
        <f>TRUNC(E383*F383,2)</f>
        <v>26.58</v>
      </c>
    </row>
    <row r="384" spans="1:7" ht="23.25" customHeight="1">
      <c r="A384" s="844">
        <v>97736</v>
      </c>
      <c r="B384" s="845" t="s">
        <v>2747</v>
      </c>
      <c r="C384" s="943" t="s">
        <v>87</v>
      </c>
      <c r="D384" s="1122"/>
      <c r="E384" s="1154"/>
      <c r="F384" s="1047">
        <f>'COMP AUX'!G964</f>
        <v>792.4</v>
      </c>
      <c r="G384" s="312">
        <f>TRUNC(E383*F384,2)</f>
        <v>79.87</v>
      </c>
    </row>
    <row r="385" spans="1:9" ht="14.1" customHeight="1">
      <c r="A385" s="1027">
        <v>7258</v>
      </c>
      <c r="B385" s="1026" t="s">
        <v>2302</v>
      </c>
      <c r="C385" s="293" t="s">
        <v>87</v>
      </c>
      <c r="D385" s="1018" t="s">
        <v>2713</v>
      </c>
      <c r="E385" s="1017">
        <v>250.81059999999999</v>
      </c>
      <c r="F385" s="997">
        <v>0.37</v>
      </c>
      <c r="G385" s="439">
        <f t="shared" ref="G385" si="10">TRUNC(E385*F385,2)</f>
        <v>92.79</v>
      </c>
      <c r="H385" s="1029"/>
    </row>
    <row r="386" spans="1:9" ht="14.1" customHeight="1">
      <c r="A386" s="1028"/>
      <c r="B386" s="1029"/>
      <c r="C386" s="1029"/>
      <c r="D386" s="1029"/>
      <c r="E386" s="484"/>
      <c r="F386" s="474" t="s">
        <v>90</v>
      </c>
      <c r="G386" s="439">
        <f>G367+G369+G371+G373+G375+G377+G379+G381+G383+0.15</f>
        <v>308.01676599999996</v>
      </c>
      <c r="H386" s="1029"/>
    </row>
    <row r="387" spans="1:9" ht="14.1" customHeight="1">
      <c r="A387" s="1029"/>
      <c r="B387" s="1029"/>
      <c r="C387" s="1029"/>
      <c r="D387" s="1029"/>
      <c r="E387" s="1029"/>
      <c r="F387" s="474" t="s">
        <v>92</v>
      </c>
      <c r="G387" s="414">
        <f>G368+G370+G372+G374+G376+G378+G380+G382+G384+G385+0.15</f>
        <v>383.93999600000001</v>
      </c>
      <c r="H387" s="1029"/>
    </row>
    <row r="388" spans="1:9" ht="14.1" customHeight="1">
      <c r="A388" s="482" t="s">
        <v>94</v>
      </c>
      <c r="B388" s="126"/>
      <c r="C388" s="1029"/>
      <c r="D388" s="1029"/>
      <c r="E388" s="1029"/>
      <c r="F388" s="474" t="s">
        <v>93</v>
      </c>
      <c r="G388" s="829">
        <f>SUM(G386:G387)</f>
        <v>691.95676200000003</v>
      </c>
      <c r="H388" s="1029"/>
    </row>
    <row r="389" spans="1:9" ht="14.1" customHeight="1">
      <c r="A389" s="478" t="s">
        <v>95</v>
      </c>
      <c r="B389" s="479">
        <f>G388</f>
        <v>691.95676200000003</v>
      </c>
      <c r="C389" s="1029"/>
      <c r="D389" s="1029"/>
      <c r="E389" s="1029"/>
      <c r="F389" s="1029"/>
      <c r="G389" s="1029"/>
      <c r="H389" s="1029"/>
    </row>
    <row r="390" spans="1:9" ht="14.1" customHeight="1">
      <c r="A390" s="382" t="s">
        <v>2272</v>
      </c>
      <c r="B390" s="381"/>
      <c r="C390" s="1029"/>
      <c r="D390" s="1029"/>
      <c r="E390" s="1029"/>
      <c r="F390" s="1029"/>
      <c r="G390" s="1029"/>
      <c r="H390" s="1029"/>
    </row>
    <row r="391" spans="1:9" ht="14.1" customHeight="1">
      <c r="A391" s="443" t="s">
        <v>2311</v>
      </c>
      <c r="B391" s="381">
        <f>(B389+B390)*0.245</f>
        <v>169.52940669</v>
      </c>
      <c r="C391" s="1029"/>
      <c r="D391" s="1029"/>
      <c r="E391" s="1029"/>
      <c r="F391" s="1029"/>
      <c r="G391" s="1029"/>
      <c r="H391" s="1029"/>
    </row>
    <row r="392" spans="1:9" ht="14.1" customHeight="1">
      <c r="A392" s="478" t="s">
        <v>98</v>
      </c>
      <c r="B392" s="480">
        <f>SUM(B389:B391)</f>
        <v>861.48616869</v>
      </c>
      <c r="C392" s="1029"/>
      <c r="D392" s="1029"/>
      <c r="E392" s="1029"/>
      <c r="F392" s="1029"/>
      <c r="G392" s="1029"/>
      <c r="H392" s="419"/>
      <c r="I392" s="122" t="s">
        <v>2273</v>
      </c>
    </row>
    <row r="393" spans="1:9">
      <c r="A393" s="362"/>
      <c r="B393" s="363"/>
      <c r="C393" s="364"/>
      <c r="D393" s="362"/>
      <c r="E393" s="363"/>
      <c r="F393" s="363"/>
      <c r="G393" s="363"/>
      <c r="H393" s="362"/>
    </row>
    <row r="394" spans="1:9">
      <c r="B394" s="952"/>
      <c r="C394" s="952"/>
      <c r="D394" s="952"/>
      <c r="E394" s="952"/>
      <c r="F394" s="952"/>
      <c r="G394" s="952"/>
      <c r="H394" s="952"/>
    </row>
    <row r="395" spans="1:9">
      <c r="A395" s="826" t="s">
        <v>2709</v>
      </c>
      <c r="B395" s="462"/>
      <c r="C395" s="462"/>
      <c r="D395" s="462"/>
      <c r="E395" s="462"/>
      <c r="F395" s="462"/>
      <c r="G395" s="462"/>
    </row>
    <row r="396" spans="1:9" ht="13.5" customHeight="1">
      <c r="A396" s="148" t="s">
        <v>2970</v>
      </c>
      <c r="B396" s="937"/>
      <c r="C396" s="937"/>
      <c r="D396" s="937"/>
      <c r="E396" s="937"/>
      <c r="F396" s="937"/>
      <c r="G396" s="937"/>
    </row>
    <row r="397" spans="1:9" ht="36.75" customHeight="1">
      <c r="A397" s="481" t="s">
        <v>1549</v>
      </c>
      <c r="B397" s="481" t="s">
        <v>2969</v>
      </c>
      <c r="C397" s="477" t="s">
        <v>2713</v>
      </c>
      <c r="F397" s="122"/>
      <c r="G397" s="937"/>
    </row>
    <row r="398" spans="1:9" ht="20.399999999999999">
      <c r="A398" s="945" t="s">
        <v>30</v>
      </c>
      <c r="B398" s="354" t="s">
        <v>19</v>
      </c>
      <c r="C398" s="293" t="s">
        <v>81</v>
      </c>
      <c r="D398" s="908" t="s">
        <v>77</v>
      </c>
      <c r="E398" s="908" t="s">
        <v>82</v>
      </c>
      <c r="F398" s="909" t="s">
        <v>83</v>
      </c>
      <c r="G398" s="355" t="s">
        <v>84</v>
      </c>
    </row>
    <row r="399" spans="1:9" ht="41.25" customHeight="1">
      <c r="A399" s="917">
        <v>87316</v>
      </c>
      <c r="B399" s="906" t="s">
        <v>2730</v>
      </c>
      <c r="C399" s="943" t="s">
        <v>108</v>
      </c>
      <c r="D399" s="922" t="s">
        <v>383</v>
      </c>
      <c r="E399" s="921">
        <v>8.0000000000000002E-3</v>
      </c>
      <c r="F399" s="835">
        <v>304.88</v>
      </c>
      <c r="G399" s="312">
        <f>TRUNC(E399*F399,2)</f>
        <v>2.4300000000000002</v>
      </c>
    </row>
    <row r="400" spans="1:9">
      <c r="A400" s="1141">
        <v>88309</v>
      </c>
      <c r="B400" s="1187" t="s">
        <v>118</v>
      </c>
      <c r="C400" s="943" t="s">
        <v>104</v>
      </c>
      <c r="D400" s="1121" t="s">
        <v>383</v>
      </c>
      <c r="E400" s="1153">
        <v>2.6</v>
      </c>
      <c r="F400" s="837">
        <f>'COMP AUX'!G151</f>
        <v>15.020000000000001</v>
      </c>
      <c r="G400" s="312">
        <f t="shared" ref="G400" si="11">TRUNC(E400*F400,2)</f>
        <v>39.049999999999997</v>
      </c>
    </row>
    <row r="401" spans="1:9" ht="15" customHeight="1">
      <c r="A401" s="1142"/>
      <c r="B401" s="1188"/>
      <c r="C401" s="943" t="s">
        <v>87</v>
      </c>
      <c r="D401" s="1122"/>
      <c r="E401" s="1154"/>
      <c r="F401" s="837">
        <f>'COMP AUX'!G152</f>
        <v>4.79</v>
      </c>
      <c r="G401" s="312">
        <f>TRUNC(E400*F401,2)</f>
        <v>12.45</v>
      </c>
    </row>
    <row r="402" spans="1:9">
      <c r="A402" s="1141" t="s">
        <v>2736</v>
      </c>
      <c r="B402" s="1187" t="s">
        <v>2737</v>
      </c>
      <c r="C402" s="943" t="s">
        <v>104</v>
      </c>
      <c r="D402" s="1121" t="s">
        <v>383</v>
      </c>
      <c r="E402" s="1153">
        <v>2.6</v>
      </c>
      <c r="F402" s="837">
        <f>'COMP AUX'!G104</f>
        <v>11.18</v>
      </c>
      <c r="G402" s="312">
        <f>TRUNC(E402*F402,2)</f>
        <v>29.06</v>
      </c>
    </row>
    <row r="403" spans="1:9" ht="15" customHeight="1">
      <c r="A403" s="1142"/>
      <c r="B403" s="1188"/>
      <c r="C403" s="943" t="s">
        <v>87</v>
      </c>
      <c r="D403" s="1122"/>
      <c r="E403" s="1154"/>
      <c r="F403" s="837">
        <f>'COMP AUX'!G105</f>
        <v>4.7300000000000004</v>
      </c>
      <c r="G403" s="312">
        <f t="shared" ref="G403" si="12">TRUNC(E402*F403,2)</f>
        <v>12.29</v>
      </c>
    </row>
    <row r="404" spans="1:9" ht="25.5" customHeight="1">
      <c r="A404" s="945">
        <v>11245</v>
      </c>
      <c r="B404" s="948" t="s">
        <v>2971</v>
      </c>
      <c r="C404" s="293" t="s">
        <v>87</v>
      </c>
      <c r="D404" s="908" t="s">
        <v>2713</v>
      </c>
      <c r="E404" s="921">
        <v>1</v>
      </c>
      <c r="F404" s="814">
        <v>248.86</v>
      </c>
      <c r="G404" s="439">
        <f t="shared" ref="G404" si="13">TRUNC(E404*F404,2)</f>
        <v>248.86</v>
      </c>
      <c r="H404" s="937"/>
    </row>
    <row r="405" spans="1:9" ht="14.1" customHeight="1">
      <c r="A405" s="936"/>
      <c r="B405" s="937"/>
      <c r="C405" s="937"/>
      <c r="D405" s="937"/>
      <c r="E405" s="484"/>
      <c r="F405" s="474" t="s">
        <v>90</v>
      </c>
      <c r="G405" s="439"/>
      <c r="H405" s="937"/>
    </row>
    <row r="406" spans="1:9" ht="14.1" customHeight="1">
      <c r="A406" s="937"/>
      <c r="B406" s="937"/>
      <c r="C406" s="937"/>
      <c r="D406" s="937"/>
      <c r="E406" s="937"/>
      <c r="F406" s="474" t="s">
        <v>92</v>
      </c>
      <c r="G406" s="414"/>
      <c r="H406" s="937"/>
    </row>
    <row r="407" spans="1:9" ht="14.1" customHeight="1">
      <c r="A407" s="482" t="s">
        <v>94</v>
      </c>
      <c r="B407" s="126"/>
      <c r="C407" s="937"/>
      <c r="D407" s="937"/>
      <c r="E407" s="937"/>
      <c r="F407" s="474" t="s">
        <v>93</v>
      </c>
      <c r="G407" s="829">
        <f>SUM(G399:G404)</f>
        <v>344.14</v>
      </c>
      <c r="H407" s="937"/>
    </row>
    <row r="408" spans="1:9" ht="14.1" customHeight="1">
      <c r="A408" s="478" t="s">
        <v>95</v>
      </c>
      <c r="B408" s="479">
        <f>G407</f>
        <v>344.14</v>
      </c>
      <c r="C408" s="937"/>
      <c r="D408" s="937"/>
      <c r="E408" s="937"/>
      <c r="F408" s="937"/>
      <c r="G408" s="937"/>
      <c r="H408" s="937"/>
    </row>
    <row r="409" spans="1:9" ht="14.1" customHeight="1">
      <c r="A409" s="382" t="s">
        <v>2272</v>
      </c>
      <c r="B409" s="381"/>
      <c r="C409" s="937"/>
      <c r="D409" s="937"/>
      <c r="E409" s="937"/>
      <c r="F409" s="937"/>
      <c r="G409" s="937"/>
      <c r="H409" s="937"/>
    </row>
    <row r="410" spans="1:9" ht="14.1" customHeight="1">
      <c r="A410" s="443" t="s">
        <v>2311</v>
      </c>
      <c r="B410" s="381">
        <f>(B408+B409)*0.245</f>
        <v>84.314299999999989</v>
      </c>
      <c r="C410" s="937"/>
      <c r="D410" s="937"/>
      <c r="E410" s="937"/>
      <c r="F410" s="937"/>
      <c r="G410" s="937"/>
      <c r="H410" s="937"/>
    </row>
    <row r="411" spans="1:9" ht="14.1" customHeight="1">
      <c r="A411" s="478" t="s">
        <v>98</v>
      </c>
      <c r="B411" s="480">
        <f>SUM(B408:B410)</f>
        <v>428.45429999999999</v>
      </c>
      <c r="C411" s="937"/>
      <c r="D411" s="937"/>
      <c r="E411" s="937"/>
      <c r="F411" s="937"/>
      <c r="G411" s="937"/>
      <c r="H411" s="419"/>
      <c r="I411" s="122" t="s">
        <v>2273</v>
      </c>
    </row>
    <row r="412" spans="1:9">
      <c r="A412" s="362"/>
      <c r="B412" s="363"/>
      <c r="C412" s="364"/>
      <c r="D412" s="362"/>
      <c r="E412" s="363"/>
      <c r="F412" s="363"/>
      <c r="G412" s="363"/>
      <c r="H412" s="362"/>
    </row>
    <row r="413" spans="1:9">
      <c r="B413" s="131"/>
      <c r="C413" s="131"/>
      <c r="D413" s="131"/>
      <c r="E413" s="131"/>
      <c r="F413" s="131"/>
      <c r="G413" s="131"/>
      <c r="H413" s="131"/>
    </row>
    <row r="414" spans="1:9">
      <c r="A414" s="122" t="s">
        <v>1194</v>
      </c>
      <c r="B414" s="462"/>
      <c r="C414" s="462"/>
      <c r="D414" s="462"/>
      <c r="E414" s="462"/>
      <c r="F414" s="462"/>
      <c r="G414" s="462"/>
    </row>
    <row r="415" spans="1:9" ht="13.5" customHeight="1">
      <c r="A415" s="148" t="s">
        <v>2419</v>
      </c>
      <c r="B415" s="130"/>
      <c r="C415" s="130"/>
      <c r="D415" s="130"/>
      <c r="E415" s="130"/>
      <c r="F415" s="130"/>
      <c r="G415" s="130"/>
    </row>
    <row r="416" spans="1:9" ht="15.75" customHeight="1">
      <c r="A416" s="481" t="s">
        <v>1549</v>
      </c>
      <c r="B416" s="481" t="s">
        <v>1695</v>
      </c>
      <c r="C416" s="477" t="s">
        <v>1316</v>
      </c>
      <c r="F416" s="122"/>
      <c r="G416" s="130"/>
    </row>
    <row r="417" spans="1:9" ht="20.399999999999999">
      <c r="A417" s="309" t="s">
        <v>30</v>
      </c>
      <c r="B417" s="354" t="s">
        <v>19</v>
      </c>
      <c r="C417" s="293" t="s">
        <v>81</v>
      </c>
      <c r="D417" s="294" t="s">
        <v>77</v>
      </c>
      <c r="E417" s="294" t="s">
        <v>82</v>
      </c>
      <c r="F417" s="295" t="s">
        <v>83</v>
      </c>
      <c r="G417" s="355" t="s">
        <v>84</v>
      </c>
    </row>
    <row r="418" spans="1:9" ht="18" customHeight="1">
      <c r="A418" s="1117">
        <v>5961</v>
      </c>
      <c r="B418" s="1129" t="s">
        <v>1517</v>
      </c>
      <c r="C418" s="438" t="s">
        <v>104</v>
      </c>
      <c r="D418" s="1121" t="s">
        <v>1256</v>
      </c>
      <c r="E418" s="1210">
        <v>0.25</v>
      </c>
      <c r="F418" s="814">
        <f>'COMP AUX'!G671</f>
        <v>11.13</v>
      </c>
      <c r="G418" s="439">
        <f t="shared" ref="G418" si="14">TRUNC(E418*F418,2)</f>
        <v>2.78</v>
      </c>
      <c r="H418" s="130"/>
    </row>
    <row r="419" spans="1:9" ht="26.25" customHeight="1">
      <c r="A419" s="1118"/>
      <c r="B419" s="1130"/>
      <c r="C419" s="438" t="s">
        <v>87</v>
      </c>
      <c r="D419" s="1122"/>
      <c r="E419" s="1211"/>
      <c r="F419" s="814">
        <f>'COMP AUX'!G672</f>
        <v>18.350000000000001</v>
      </c>
      <c r="G419" s="439">
        <f>TRUNC(E418*F419,2)</f>
        <v>4.58</v>
      </c>
      <c r="H419" s="130"/>
    </row>
    <row r="420" spans="1:9" ht="14.1" customHeight="1">
      <c r="A420" s="1141" t="s">
        <v>1322</v>
      </c>
      <c r="B420" s="1129" t="s">
        <v>110</v>
      </c>
      <c r="C420" s="293" t="s">
        <v>104</v>
      </c>
      <c r="D420" s="1153" t="s">
        <v>383</v>
      </c>
      <c r="E420" s="1162">
        <v>0.7</v>
      </c>
      <c r="F420" s="814">
        <f>'COMP AUX'!G104</f>
        <v>11.18</v>
      </c>
      <c r="G420" s="439">
        <f t="shared" ref="G420" si="15">TRUNC(E420*F420,2)</f>
        <v>7.82</v>
      </c>
      <c r="H420" s="130"/>
    </row>
    <row r="421" spans="1:9" ht="14.1" customHeight="1">
      <c r="A421" s="1142"/>
      <c r="B421" s="1130"/>
      <c r="C421" s="293" t="s">
        <v>87</v>
      </c>
      <c r="D421" s="1154"/>
      <c r="E421" s="1163"/>
      <c r="F421" s="823">
        <f>'COMP AUX'!G105</f>
        <v>4.7300000000000004</v>
      </c>
      <c r="G421" s="439">
        <f>TRUNC(E420*F421,2)</f>
        <v>3.31</v>
      </c>
    </row>
    <row r="422" spans="1:9" ht="14.1" customHeight="1">
      <c r="A422" s="134"/>
      <c r="B422" s="130"/>
      <c r="C422" s="130"/>
      <c r="D422" s="130"/>
      <c r="E422" s="484"/>
      <c r="F422" s="474" t="s">
        <v>90</v>
      </c>
      <c r="G422" s="439">
        <f>G418+G420</f>
        <v>10.6</v>
      </c>
      <c r="H422" s="130"/>
    </row>
    <row r="423" spans="1:9" ht="14.1" customHeight="1">
      <c r="A423" s="130"/>
      <c r="B423" s="130"/>
      <c r="C423" s="130"/>
      <c r="D423" s="130"/>
      <c r="E423" s="130"/>
      <c r="F423" s="474" t="s">
        <v>92</v>
      </c>
      <c r="G423" s="439">
        <f>G419+G421</f>
        <v>7.8900000000000006</v>
      </c>
      <c r="H423" s="130"/>
    </row>
    <row r="424" spans="1:9" ht="14.1" customHeight="1">
      <c r="A424" s="482" t="s">
        <v>94</v>
      </c>
      <c r="B424" s="126"/>
      <c r="C424" s="130"/>
      <c r="D424" s="130"/>
      <c r="E424" s="130"/>
      <c r="F424" s="474" t="s">
        <v>93</v>
      </c>
      <c r="G424" s="824">
        <f>SUM(G422:G423)</f>
        <v>18.490000000000002</v>
      </c>
      <c r="H424" s="130"/>
    </row>
    <row r="425" spans="1:9" ht="14.1" customHeight="1">
      <c r="A425" s="478" t="s">
        <v>95</v>
      </c>
      <c r="B425" s="479">
        <f>G424</f>
        <v>18.490000000000002</v>
      </c>
      <c r="C425" s="130"/>
      <c r="D425" s="130"/>
      <c r="E425" s="130"/>
      <c r="F425" s="130"/>
      <c r="G425" s="130"/>
      <c r="H425" s="130"/>
    </row>
    <row r="426" spans="1:9" ht="14.1" customHeight="1">
      <c r="A426" s="382" t="s">
        <v>2272</v>
      </c>
      <c r="B426" s="381"/>
      <c r="C426" s="130"/>
      <c r="D426" s="130"/>
      <c r="E426" s="130"/>
      <c r="F426" s="130"/>
      <c r="G426" s="130"/>
      <c r="H426" s="130"/>
    </row>
    <row r="427" spans="1:9" ht="14.1" customHeight="1">
      <c r="A427" s="443" t="s">
        <v>2311</v>
      </c>
      <c r="B427" s="381">
        <f>(B425+B426)*0.245</f>
        <v>4.5300500000000001</v>
      </c>
      <c r="C427" s="130"/>
      <c r="D427" s="130"/>
      <c r="E427" s="130"/>
      <c r="F427" s="130"/>
      <c r="G427" s="130"/>
      <c r="H427" s="130"/>
    </row>
    <row r="428" spans="1:9" ht="14.1" customHeight="1">
      <c r="A428" s="478" t="s">
        <v>98</v>
      </c>
      <c r="B428" s="480">
        <f>SUM(B425:B427)</f>
        <v>23.020050000000001</v>
      </c>
      <c r="C428" s="130"/>
      <c r="D428" s="130"/>
      <c r="E428" s="130"/>
      <c r="F428" s="130"/>
      <c r="G428" s="130"/>
      <c r="H428" s="419"/>
      <c r="I428" s="122" t="s">
        <v>2273</v>
      </c>
    </row>
    <row r="429" spans="1:9">
      <c r="A429" s="362"/>
      <c r="B429" s="363"/>
      <c r="C429" s="364"/>
      <c r="D429" s="362"/>
      <c r="E429" s="363"/>
      <c r="F429" s="363"/>
      <c r="G429" s="363"/>
      <c r="H429" s="362"/>
    </row>
    <row r="430" spans="1:9">
      <c r="B430" s="131"/>
      <c r="C430" s="131"/>
      <c r="D430" s="131"/>
      <c r="E430" s="131"/>
      <c r="F430" s="131"/>
      <c r="G430" s="131"/>
      <c r="H430" s="131"/>
    </row>
    <row r="431" spans="1:9" ht="14.25" customHeight="1">
      <c r="A431" s="826" t="s">
        <v>2709</v>
      </c>
      <c r="B431" s="462"/>
      <c r="C431" s="462"/>
      <c r="D431" s="462"/>
      <c r="E431" s="462"/>
      <c r="F431" s="462"/>
      <c r="G431" s="462"/>
    </row>
    <row r="432" spans="1:9" ht="15" customHeight="1">
      <c r="A432" s="148" t="s">
        <v>2418</v>
      </c>
      <c r="B432" s="130"/>
      <c r="C432" s="130"/>
      <c r="D432" s="130"/>
      <c r="E432" s="130"/>
      <c r="F432" s="130"/>
      <c r="G432" s="130"/>
    </row>
    <row r="433" spans="1:7" ht="24.75" customHeight="1">
      <c r="A433" s="481" t="s">
        <v>1549</v>
      </c>
      <c r="B433" s="1116" t="s">
        <v>2661</v>
      </c>
      <c r="C433" s="1116"/>
      <c r="D433" s="1116"/>
      <c r="E433" s="477" t="s">
        <v>1316</v>
      </c>
      <c r="F433" s="122"/>
      <c r="G433" s="130"/>
    </row>
    <row r="434" spans="1:7" ht="26.25" customHeight="1">
      <c r="A434" s="309" t="s">
        <v>30</v>
      </c>
      <c r="B434" s="354" t="s">
        <v>19</v>
      </c>
      <c r="C434" s="293" t="s">
        <v>81</v>
      </c>
      <c r="D434" s="294" t="s">
        <v>77</v>
      </c>
      <c r="E434" s="294" t="s">
        <v>82</v>
      </c>
      <c r="F434" s="295" t="s">
        <v>83</v>
      </c>
      <c r="G434" s="355" t="s">
        <v>84</v>
      </c>
    </row>
    <row r="435" spans="1:7" ht="26.25" customHeight="1">
      <c r="A435" s="309">
        <v>4720</v>
      </c>
      <c r="B435" s="297" t="s">
        <v>1519</v>
      </c>
      <c r="C435" s="293" t="s">
        <v>87</v>
      </c>
      <c r="D435" s="294" t="s">
        <v>1316</v>
      </c>
      <c r="E435" s="311">
        <v>1.1000000000000001</v>
      </c>
      <c r="F435" s="828">
        <v>102.15</v>
      </c>
      <c r="G435" s="312">
        <f>TRUNC(E435*F435,2)</f>
        <v>112.36</v>
      </c>
    </row>
    <row r="436" spans="1:7" ht="15" customHeight="1">
      <c r="A436" s="1159" t="s">
        <v>1520</v>
      </c>
      <c r="B436" s="1129" t="s">
        <v>118</v>
      </c>
      <c r="C436" s="293" t="s">
        <v>104</v>
      </c>
      <c r="D436" s="1155" t="s">
        <v>383</v>
      </c>
      <c r="E436" s="1153">
        <v>2.5459999999999998</v>
      </c>
      <c r="F436" s="825">
        <f>'COMP AUX'!G151</f>
        <v>15.020000000000001</v>
      </c>
      <c r="G436" s="312">
        <f t="shared" ref="G436" si="16">TRUNC(E436*F436,2)</f>
        <v>38.24</v>
      </c>
    </row>
    <row r="437" spans="1:7" ht="15" customHeight="1">
      <c r="A437" s="1160"/>
      <c r="B437" s="1130"/>
      <c r="C437" s="293" t="s">
        <v>87</v>
      </c>
      <c r="D437" s="1156"/>
      <c r="E437" s="1154"/>
      <c r="F437" s="825">
        <f>'COMP AUX'!G152</f>
        <v>4.79</v>
      </c>
      <c r="G437" s="312">
        <f>TRUNC(E436*F437,2)</f>
        <v>12.19</v>
      </c>
    </row>
    <row r="438" spans="1:7" ht="15" customHeight="1">
      <c r="A438" s="1159" t="s">
        <v>1322</v>
      </c>
      <c r="B438" s="1129" t="s">
        <v>110</v>
      </c>
      <c r="C438" s="293" t="s">
        <v>104</v>
      </c>
      <c r="D438" s="1153" t="s">
        <v>383</v>
      </c>
      <c r="E438" s="1162">
        <v>3.819</v>
      </c>
      <c r="F438" s="825">
        <f>'COMP AUX'!G104</f>
        <v>11.18</v>
      </c>
      <c r="G438" s="312">
        <f t="shared" ref="G438" si="17">TRUNC(E438*F438,2)</f>
        <v>42.69</v>
      </c>
    </row>
    <row r="439" spans="1:7" ht="15" customHeight="1">
      <c r="A439" s="1160"/>
      <c r="B439" s="1178"/>
      <c r="C439" s="293" t="s">
        <v>87</v>
      </c>
      <c r="D439" s="1154"/>
      <c r="E439" s="1163"/>
      <c r="F439" s="825">
        <f>'COMP AUX'!G105</f>
        <v>4.7300000000000004</v>
      </c>
      <c r="G439" s="312">
        <f>TRUNC(E438*F439,2)</f>
        <v>18.059999999999999</v>
      </c>
    </row>
    <row r="440" spans="1:7" ht="15" customHeight="1">
      <c r="A440" s="1141" t="s">
        <v>1521</v>
      </c>
      <c r="B440" s="1129" t="s">
        <v>1522</v>
      </c>
      <c r="C440" s="293" t="s">
        <v>104</v>
      </c>
      <c r="D440" s="1153" t="s">
        <v>1277</v>
      </c>
      <c r="E440" s="1153">
        <v>6.9000000000000006E-2</v>
      </c>
      <c r="F440" s="825">
        <f>'COMP AUX'!G720</f>
        <v>10.99</v>
      </c>
      <c r="G440" s="312">
        <f>TRUNC(E440*F440,2)</f>
        <v>0.75</v>
      </c>
    </row>
    <row r="441" spans="1:7" ht="15" customHeight="1">
      <c r="A441" s="1142"/>
      <c r="B441" s="1130"/>
      <c r="C441" s="293" t="s">
        <v>1260</v>
      </c>
      <c r="D441" s="1154"/>
      <c r="E441" s="1154"/>
      <c r="F441" s="825">
        <f>'COMP AUX'!G721</f>
        <v>9.2100000000000009</v>
      </c>
      <c r="G441" s="312">
        <f>TRUNC(E440*F441,2)</f>
        <v>0.63</v>
      </c>
    </row>
    <row r="442" spans="1:7" ht="15" customHeight="1">
      <c r="A442" s="1185" t="s">
        <v>1523</v>
      </c>
      <c r="B442" s="1231" t="s">
        <v>1313</v>
      </c>
      <c r="C442" s="293" t="s">
        <v>104</v>
      </c>
      <c r="D442" s="1131" t="s">
        <v>1256</v>
      </c>
      <c r="E442" s="1234">
        <v>6.4000000000000001E-2</v>
      </c>
      <c r="F442" s="825">
        <f>'COMP AUX'!G853</f>
        <v>10.99</v>
      </c>
      <c r="G442" s="312">
        <f>TRUNC(E442*F442,2)</f>
        <v>0.7</v>
      </c>
    </row>
    <row r="443" spans="1:7" ht="15" customHeight="1">
      <c r="A443" s="1185"/>
      <c r="B443" s="1231"/>
      <c r="C443" s="293" t="s">
        <v>1260</v>
      </c>
      <c r="D443" s="1131"/>
      <c r="E443" s="1234"/>
      <c r="F443" s="825">
        <f>'COMP AUX'!G854</f>
        <v>4.57</v>
      </c>
      <c r="G443" s="312">
        <f>TRUNC(E442*F443,2)</f>
        <v>0.28999999999999998</v>
      </c>
    </row>
    <row r="444" spans="1:7" ht="15" customHeight="1">
      <c r="F444" s="360" t="s">
        <v>90</v>
      </c>
      <c r="G444" s="322">
        <f>G436+G438+G440+G442</f>
        <v>82.38000000000001</v>
      </c>
    </row>
    <row r="445" spans="1:7" ht="15" customHeight="1">
      <c r="F445" s="301" t="s">
        <v>92</v>
      </c>
      <c r="G445" s="312">
        <f>G435+G437+G439+G441+G443</f>
        <v>143.52999999999997</v>
      </c>
    </row>
    <row r="446" spans="1:7" ht="15" customHeight="1">
      <c r="A446" s="122" t="s">
        <v>94</v>
      </c>
      <c r="F446" s="301" t="s">
        <v>93</v>
      </c>
      <c r="G446" s="820">
        <f>SUM(G444:G445)</f>
        <v>225.90999999999997</v>
      </c>
    </row>
    <row r="447" spans="1:7" ht="15" customHeight="1">
      <c r="A447" s="300" t="s">
        <v>95</v>
      </c>
      <c r="B447" s="385">
        <f>G446</f>
        <v>225.90999999999997</v>
      </c>
    </row>
    <row r="448" spans="1:7" ht="15" customHeight="1">
      <c r="A448" s="382" t="s">
        <v>2272</v>
      </c>
      <c r="B448" s="381"/>
    </row>
    <row r="449" spans="1:9" ht="15" customHeight="1">
      <c r="A449" s="443" t="s">
        <v>2311</v>
      </c>
      <c r="B449" s="381">
        <f>(B447+B448)*0.245</f>
        <v>55.34794999999999</v>
      </c>
    </row>
    <row r="450" spans="1:9" ht="15" customHeight="1">
      <c r="A450" s="300" t="s">
        <v>98</v>
      </c>
      <c r="B450" s="386">
        <f>SUM(B447:B449)</f>
        <v>281.25794999999994</v>
      </c>
      <c r="H450" s="394"/>
      <c r="I450" s="122" t="s">
        <v>2277</v>
      </c>
    </row>
    <row r="451" spans="1:9">
      <c r="A451" s="362"/>
      <c r="B451" s="363"/>
      <c r="C451" s="364"/>
      <c r="D451" s="362"/>
      <c r="E451" s="363"/>
      <c r="F451" s="363"/>
      <c r="G451" s="363"/>
      <c r="H451" s="362"/>
    </row>
    <row r="452" spans="1:9">
      <c r="B452" s="131"/>
      <c r="C452" s="131"/>
      <c r="D452" s="131"/>
      <c r="E452" s="131"/>
      <c r="F452" s="131"/>
      <c r="G452" s="131"/>
      <c r="H452" s="131"/>
    </row>
    <row r="453" spans="1:9">
      <c r="A453" s="826" t="s">
        <v>2709</v>
      </c>
      <c r="B453" s="462"/>
      <c r="C453" s="462"/>
      <c r="D453" s="462"/>
      <c r="E453" s="462"/>
      <c r="F453" s="462"/>
      <c r="G453" s="462"/>
    </row>
    <row r="454" spans="1:9">
      <c r="A454" s="148" t="s">
        <v>2426</v>
      </c>
      <c r="B454" s="130"/>
      <c r="C454" s="130"/>
      <c r="D454" s="130"/>
      <c r="E454" s="130"/>
      <c r="F454" s="130"/>
      <c r="G454" s="130"/>
    </row>
    <row r="455" spans="1:9" ht="28.5" customHeight="1">
      <c r="A455" s="481" t="s">
        <v>1549</v>
      </c>
      <c r="B455" s="1116" t="s">
        <v>1692</v>
      </c>
      <c r="C455" s="1116"/>
      <c r="D455" s="1116"/>
      <c r="E455" s="477" t="s">
        <v>1316</v>
      </c>
      <c r="F455" s="122"/>
      <c r="G455" s="130"/>
    </row>
    <row r="456" spans="1:9" ht="20.399999999999999">
      <c r="A456" s="309" t="s">
        <v>30</v>
      </c>
      <c r="B456" s="354" t="s">
        <v>19</v>
      </c>
      <c r="C456" s="293" t="s">
        <v>81</v>
      </c>
      <c r="D456" s="294" t="s">
        <v>77</v>
      </c>
      <c r="E456" s="294" t="s">
        <v>82</v>
      </c>
      <c r="F456" s="295" t="s">
        <v>83</v>
      </c>
      <c r="G456" s="355" t="s">
        <v>84</v>
      </c>
    </row>
    <row r="457" spans="1:9" ht="29.25" customHeight="1">
      <c r="A457" s="309" t="s">
        <v>1518</v>
      </c>
      <c r="B457" s="297" t="s">
        <v>1519</v>
      </c>
      <c r="C457" s="293" t="s">
        <v>87</v>
      </c>
      <c r="D457" s="294" t="s">
        <v>1316</v>
      </c>
      <c r="E457" s="311">
        <v>1.1000000000000001</v>
      </c>
      <c r="F457" s="294">
        <v>81.42</v>
      </c>
      <c r="G457" s="312">
        <f>TRUNC(E457*F457,2)</f>
        <v>89.56</v>
      </c>
    </row>
    <row r="458" spans="1:9" ht="15" customHeight="1">
      <c r="A458" s="1159" t="s">
        <v>1520</v>
      </c>
      <c r="B458" s="1129" t="s">
        <v>118</v>
      </c>
      <c r="C458" s="293" t="s">
        <v>104</v>
      </c>
      <c r="D458" s="1155" t="s">
        <v>383</v>
      </c>
      <c r="E458" s="1153">
        <v>2.1539999999999999</v>
      </c>
      <c r="F458" s="298">
        <f>'COMP AUX'!G151</f>
        <v>15.020000000000001</v>
      </c>
      <c r="G458" s="312">
        <f t="shared" ref="G458:G460" si="18">TRUNC(E458*F458,2)</f>
        <v>32.35</v>
      </c>
    </row>
    <row r="459" spans="1:9" ht="15" customHeight="1">
      <c r="A459" s="1160"/>
      <c r="B459" s="1130"/>
      <c r="C459" s="293" t="s">
        <v>87</v>
      </c>
      <c r="D459" s="1156"/>
      <c r="E459" s="1154"/>
      <c r="F459" s="298">
        <f>'COMP AUX'!G152</f>
        <v>4.79</v>
      </c>
      <c r="G459" s="312">
        <f>TRUNC(E458*F459,2)</f>
        <v>10.31</v>
      </c>
    </row>
    <row r="460" spans="1:9" ht="15" customHeight="1">
      <c r="A460" s="1159" t="s">
        <v>1322</v>
      </c>
      <c r="B460" s="1129" t="s">
        <v>110</v>
      </c>
      <c r="C460" s="293" t="s">
        <v>104</v>
      </c>
      <c r="D460" s="1153" t="s">
        <v>383</v>
      </c>
      <c r="E460" s="1162">
        <v>3.23</v>
      </c>
      <c r="F460" s="298">
        <f>'COMP AUX'!G104</f>
        <v>11.18</v>
      </c>
      <c r="G460" s="312">
        <f t="shared" si="18"/>
        <v>36.11</v>
      </c>
    </row>
    <row r="461" spans="1:9" ht="15" customHeight="1">
      <c r="A461" s="1160"/>
      <c r="B461" s="1178"/>
      <c r="C461" s="293" t="s">
        <v>87</v>
      </c>
      <c r="D461" s="1154"/>
      <c r="E461" s="1163"/>
      <c r="F461" s="298">
        <f>'COMP AUX'!G105</f>
        <v>4.7300000000000004</v>
      </c>
      <c r="G461" s="312">
        <f>TRUNC(E460*F461,2)</f>
        <v>15.27</v>
      </c>
    </row>
    <row r="462" spans="1:9" ht="15" customHeight="1">
      <c r="A462" s="1141" t="s">
        <v>1521</v>
      </c>
      <c r="B462" s="1129" t="s">
        <v>1522</v>
      </c>
      <c r="C462" s="293" t="s">
        <v>104</v>
      </c>
      <c r="D462" s="1153" t="s">
        <v>1277</v>
      </c>
      <c r="E462" s="1153">
        <v>3.2000000000000001E-2</v>
      </c>
      <c r="F462" s="831">
        <v>14.33</v>
      </c>
      <c r="G462" s="312">
        <f>TRUNC(E462*F462,2)</f>
        <v>0.45</v>
      </c>
    </row>
    <row r="463" spans="1:9" ht="15" customHeight="1">
      <c r="A463" s="1142"/>
      <c r="B463" s="1130"/>
      <c r="C463" s="293" t="s">
        <v>1260</v>
      </c>
      <c r="D463" s="1154"/>
      <c r="E463" s="1154"/>
      <c r="F463" s="831">
        <v>5.19</v>
      </c>
      <c r="G463" s="312">
        <f>TRUNC(E462*F463,2)</f>
        <v>0.16</v>
      </c>
    </row>
    <row r="464" spans="1:9" ht="15" customHeight="1">
      <c r="A464" s="1185" t="s">
        <v>1523</v>
      </c>
      <c r="B464" s="1231" t="s">
        <v>1313</v>
      </c>
      <c r="C464" s="293" t="s">
        <v>104</v>
      </c>
      <c r="D464" s="1131" t="s">
        <v>1256</v>
      </c>
      <c r="E464" s="1234">
        <v>0.03</v>
      </c>
      <c r="F464" s="298">
        <v>13.86</v>
      </c>
      <c r="G464" s="312">
        <f>TRUNC(E464*F464,2)</f>
        <v>0.41</v>
      </c>
    </row>
    <row r="465" spans="1:8" ht="15" customHeight="1">
      <c r="A465" s="1185"/>
      <c r="B465" s="1231"/>
      <c r="C465" s="293" t="s">
        <v>1260</v>
      </c>
      <c r="D465" s="1131"/>
      <c r="E465" s="1234"/>
      <c r="F465" s="298">
        <v>2.35</v>
      </c>
      <c r="G465" s="312">
        <f>TRUNC(E464*F465,2)</f>
        <v>7.0000000000000007E-2</v>
      </c>
    </row>
    <row r="466" spans="1:8" ht="15" customHeight="1">
      <c r="F466" s="360" t="s">
        <v>90</v>
      </c>
      <c r="G466" s="322">
        <f>G458+G460+G462+G464</f>
        <v>69.320000000000007</v>
      </c>
    </row>
    <row r="467" spans="1:8" ht="15" customHeight="1">
      <c r="F467" s="301" t="s">
        <v>92</v>
      </c>
      <c r="G467" s="312">
        <f>G457+G459+G461+G463+G465</f>
        <v>115.36999999999999</v>
      </c>
    </row>
    <row r="468" spans="1:8" ht="15" customHeight="1">
      <c r="A468" s="122" t="s">
        <v>94</v>
      </c>
      <c r="F468" s="301" t="s">
        <v>93</v>
      </c>
      <c r="G468" s="313">
        <f>SUM(G466:G467)</f>
        <v>184.69</v>
      </c>
    </row>
    <row r="469" spans="1:8" ht="15" customHeight="1">
      <c r="A469" s="300" t="s">
        <v>95</v>
      </c>
      <c r="B469" s="385">
        <f>G468</f>
        <v>184.69</v>
      </c>
    </row>
    <row r="470" spans="1:8" ht="15" customHeight="1">
      <c r="A470" s="382" t="s">
        <v>2272</v>
      </c>
      <c r="B470" s="381"/>
    </row>
    <row r="471" spans="1:8" ht="15" customHeight="1">
      <c r="A471" s="443" t="s">
        <v>2311</v>
      </c>
      <c r="B471" s="381">
        <f>(B469+B470)*0.245</f>
        <v>45.249049999999997</v>
      </c>
    </row>
    <row r="472" spans="1:8" ht="15" customHeight="1">
      <c r="A472" s="300" t="s">
        <v>98</v>
      </c>
      <c r="B472" s="386">
        <f>SUM(B469:B471)</f>
        <v>229.93905000000001</v>
      </c>
      <c r="H472" s="394"/>
    </row>
    <row r="473" spans="1:8">
      <c r="A473" s="362"/>
      <c r="B473" s="363"/>
      <c r="C473" s="364"/>
      <c r="D473" s="362"/>
      <c r="E473" s="363"/>
      <c r="F473" s="363"/>
      <c r="G473" s="363"/>
      <c r="H473" s="362"/>
    </row>
    <row r="474" spans="1:8">
      <c r="B474" s="131"/>
      <c r="C474" s="131"/>
      <c r="D474" s="131"/>
      <c r="E474" s="131"/>
      <c r="F474" s="131"/>
      <c r="G474" s="131"/>
      <c r="H474" s="131"/>
    </row>
    <row r="475" spans="1:8">
      <c r="A475" s="826" t="s">
        <v>2709</v>
      </c>
      <c r="B475" s="462"/>
      <c r="C475" s="462"/>
      <c r="D475" s="462"/>
      <c r="E475" s="462"/>
      <c r="F475" s="462"/>
      <c r="G475" s="462"/>
    </row>
    <row r="476" spans="1:8" ht="13.5" customHeight="1">
      <c r="A476" s="148" t="s">
        <v>2425</v>
      </c>
      <c r="B476" s="130"/>
      <c r="C476" s="130"/>
      <c r="D476" s="130"/>
      <c r="E476" s="130"/>
      <c r="F476" s="130"/>
      <c r="G476" s="130"/>
    </row>
    <row r="477" spans="1:8" ht="26.25" customHeight="1">
      <c r="A477" s="481" t="s">
        <v>1555</v>
      </c>
      <c r="B477" s="481" t="s">
        <v>1556</v>
      </c>
      <c r="C477" s="477" t="s">
        <v>1316</v>
      </c>
      <c r="D477" s="481"/>
      <c r="F477" s="122"/>
      <c r="G477" s="130"/>
    </row>
    <row r="478" spans="1:8" ht="27" customHeight="1">
      <c r="A478" s="309" t="s">
        <v>30</v>
      </c>
      <c r="B478" s="354" t="s">
        <v>19</v>
      </c>
      <c r="C478" s="293" t="s">
        <v>81</v>
      </c>
      <c r="D478" s="294" t="s">
        <v>77</v>
      </c>
      <c r="E478" s="294" t="s">
        <v>82</v>
      </c>
      <c r="F478" s="295" t="s">
        <v>83</v>
      </c>
      <c r="G478" s="355" t="s">
        <v>84</v>
      </c>
    </row>
    <row r="479" spans="1:8" ht="15" customHeight="1">
      <c r="A479" s="1159" t="s">
        <v>1520</v>
      </c>
      <c r="B479" s="1129" t="s">
        <v>118</v>
      </c>
      <c r="C479" s="293" t="s">
        <v>104</v>
      </c>
      <c r="D479" s="1155" t="s">
        <v>383</v>
      </c>
      <c r="E479" s="1153">
        <v>0.31059999999999999</v>
      </c>
      <c r="F479" s="831">
        <f>'COMP AUX'!G151</f>
        <v>15.020000000000001</v>
      </c>
      <c r="G479" s="312">
        <f t="shared" ref="G479" si="19">TRUNC(E479*F479,2)</f>
        <v>4.66</v>
      </c>
    </row>
    <row r="480" spans="1:8" ht="15" customHeight="1">
      <c r="A480" s="1160"/>
      <c r="B480" s="1130"/>
      <c r="C480" s="293" t="s">
        <v>87</v>
      </c>
      <c r="D480" s="1156"/>
      <c r="E480" s="1154"/>
      <c r="F480" s="831">
        <f>'COMP AUX'!G152</f>
        <v>4.79</v>
      </c>
      <c r="G480" s="312">
        <f>TRUNC(E479*F480,2)</f>
        <v>1.48</v>
      </c>
    </row>
    <row r="481" spans="1:9" ht="15" customHeight="1">
      <c r="A481" s="1159" t="s">
        <v>1322</v>
      </c>
      <c r="B481" s="1129" t="s">
        <v>110</v>
      </c>
      <c r="C481" s="293" t="s">
        <v>104</v>
      </c>
      <c r="D481" s="1153" t="s">
        <v>383</v>
      </c>
      <c r="E481" s="1153">
        <v>8.4699999999999998E-2</v>
      </c>
      <c r="F481" s="831">
        <f>'COMP AUX'!G104</f>
        <v>11.18</v>
      </c>
      <c r="G481" s="312">
        <f t="shared" ref="G481" si="20">TRUNC(E481*F481,2)</f>
        <v>0.94</v>
      </c>
    </row>
    <row r="482" spans="1:9" ht="15" customHeight="1">
      <c r="A482" s="1160"/>
      <c r="B482" s="1178"/>
      <c r="C482" s="293" t="s">
        <v>87</v>
      </c>
      <c r="D482" s="1154"/>
      <c r="E482" s="1154"/>
      <c r="F482" s="831">
        <f>'COMP AUX'!G105</f>
        <v>4.7300000000000004</v>
      </c>
      <c r="G482" s="312">
        <f>TRUNC(E481*F482,2)</f>
        <v>0.4</v>
      </c>
    </row>
    <row r="483" spans="1:9" ht="15" customHeight="1">
      <c r="A483" s="1159">
        <v>94968</v>
      </c>
      <c r="B483" s="1129" t="s">
        <v>1691</v>
      </c>
      <c r="C483" s="293" t="s">
        <v>104</v>
      </c>
      <c r="D483" s="1131" t="s">
        <v>1316</v>
      </c>
      <c r="E483" s="1131">
        <v>1.1299999999999999</v>
      </c>
      <c r="F483" s="831">
        <f>'COMP AUX'!G925</f>
        <v>37.25</v>
      </c>
      <c r="G483" s="312">
        <f>TRUNC(E483*F483,2)</f>
        <v>42.09</v>
      </c>
    </row>
    <row r="484" spans="1:9" ht="15" customHeight="1">
      <c r="A484" s="1164"/>
      <c r="B484" s="1130"/>
      <c r="C484" s="293" t="s">
        <v>87</v>
      </c>
      <c r="D484" s="1131"/>
      <c r="E484" s="1131"/>
      <c r="F484" s="298">
        <f>'COMP AUX'!G926</f>
        <v>223.87</v>
      </c>
      <c r="G484" s="312">
        <f>TRUNC(E483*F484,2)</f>
        <v>252.97</v>
      </c>
    </row>
    <row r="485" spans="1:9" ht="15" customHeight="1">
      <c r="E485" s="483"/>
      <c r="F485" s="384" t="s">
        <v>90</v>
      </c>
      <c r="G485" s="312">
        <f>G479+G481+G483</f>
        <v>47.690000000000005</v>
      </c>
    </row>
    <row r="486" spans="1:9" ht="15" customHeight="1">
      <c r="F486" s="301" t="s">
        <v>92</v>
      </c>
      <c r="G486" s="312">
        <f>G480+G482+G484</f>
        <v>254.85</v>
      </c>
    </row>
    <row r="487" spans="1:9" ht="15" customHeight="1">
      <c r="A487" s="122" t="s">
        <v>94</v>
      </c>
      <c r="F487" s="301" t="s">
        <v>93</v>
      </c>
      <c r="G487" s="820">
        <f>SUM(G485:G486)</f>
        <v>302.54000000000002</v>
      </c>
    </row>
    <row r="488" spans="1:9" ht="15" customHeight="1">
      <c r="A488" s="300" t="s">
        <v>95</v>
      </c>
      <c r="B488" s="385">
        <f>G487</f>
        <v>302.54000000000002</v>
      </c>
    </row>
    <row r="489" spans="1:9" ht="15" customHeight="1">
      <c r="A489" s="382" t="s">
        <v>2272</v>
      </c>
      <c r="B489" s="381"/>
    </row>
    <row r="490" spans="1:9" ht="15" customHeight="1">
      <c r="A490" s="443" t="s">
        <v>2311</v>
      </c>
      <c r="B490" s="381">
        <f>(B488+B489)*0.245</f>
        <v>74.12230000000001</v>
      </c>
    </row>
    <row r="491" spans="1:9" ht="15" customHeight="1">
      <c r="A491" s="300" t="s">
        <v>98</v>
      </c>
      <c r="B491" s="386">
        <f>SUM(B488:B490)</f>
        <v>376.66230000000002</v>
      </c>
      <c r="H491" s="394"/>
      <c r="I491" s="122" t="s">
        <v>2277</v>
      </c>
    </row>
    <row r="492" spans="1:9" ht="10.5" customHeight="1">
      <c r="A492" s="362"/>
      <c r="B492" s="363"/>
      <c r="C492" s="364"/>
      <c r="D492" s="362"/>
      <c r="E492" s="363"/>
      <c r="F492" s="363"/>
      <c r="G492" s="363"/>
      <c r="H492" s="362"/>
    </row>
    <row r="493" spans="1:9" ht="11.25" customHeight="1"/>
    <row r="494" spans="1:9" ht="11.25" customHeight="1">
      <c r="A494" s="122" t="s">
        <v>1194</v>
      </c>
      <c r="B494" s="462"/>
      <c r="C494" s="462"/>
      <c r="D494" s="462"/>
      <c r="E494" s="462"/>
      <c r="F494" s="462"/>
      <c r="G494" s="462"/>
    </row>
    <row r="495" spans="1:9" ht="11.25" customHeight="1">
      <c r="A495" s="148" t="s">
        <v>2427</v>
      </c>
      <c r="B495" s="130"/>
      <c r="C495" s="130"/>
      <c r="D495" s="130"/>
      <c r="E495" s="130"/>
      <c r="F495" s="130"/>
      <c r="G495" s="130"/>
    </row>
    <row r="496" spans="1:9" ht="25.5" customHeight="1">
      <c r="A496" s="481" t="s">
        <v>1549</v>
      </c>
      <c r="B496" s="481" t="s">
        <v>1860</v>
      </c>
      <c r="C496" s="607" t="s">
        <v>1487</v>
      </c>
      <c r="D496" s="481"/>
      <c r="E496" s="477"/>
      <c r="F496" s="122"/>
      <c r="G496" s="130"/>
    </row>
    <row r="497" spans="1:8" ht="22.5" customHeight="1">
      <c r="A497" s="309" t="s">
        <v>30</v>
      </c>
      <c r="B497" s="354" t="s">
        <v>19</v>
      </c>
      <c r="C497" s="293" t="s">
        <v>81</v>
      </c>
      <c r="D497" s="294" t="s">
        <v>77</v>
      </c>
      <c r="E497" s="294" t="s">
        <v>82</v>
      </c>
      <c r="F497" s="295" t="s">
        <v>83</v>
      </c>
      <c r="G497" s="355" t="s">
        <v>84</v>
      </c>
    </row>
    <row r="498" spans="1:8" ht="14.1" customHeight="1">
      <c r="A498" s="309" t="s">
        <v>1780</v>
      </c>
      <c r="B498" s="297" t="s">
        <v>1781</v>
      </c>
      <c r="C498" s="293" t="s">
        <v>87</v>
      </c>
      <c r="D498" s="294" t="s">
        <v>1487</v>
      </c>
      <c r="E498" s="311">
        <v>1.1000000000000001</v>
      </c>
      <c r="F498" s="294">
        <v>0.91</v>
      </c>
      <c r="G498" s="312">
        <f>TRUNC(E498*F498,2)</f>
        <v>1</v>
      </c>
    </row>
    <row r="499" spans="1:8" ht="14.1" customHeight="1">
      <c r="A499" s="1159" t="s">
        <v>2185</v>
      </c>
      <c r="B499" s="1129" t="s">
        <v>1786</v>
      </c>
      <c r="C499" s="293" t="s">
        <v>104</v>
      </c>
      <c r="D499" s="1131" t="s">
        <v>383</v>
      </c>
      <c r="E499" s="1234">
        <v>0.2</v>
      </c>
      <c r="F499" s="298">
        <f>'COMP AUX'!G389</f>
        <v>15.879999999999999</v>
      </c>
      <c r="G499" s="312">
        <f>TRUNC(E499*F499,2)</f>
        <v>3.17</v>
      </c>
    </row>
    <row r="500" spans="1:8" ht="14.1" customHeight="1">
      <c r="A500" s="1160"/>
      <c r="B500" s="1130"/>
      <c r="C500" s="293" t="s">
        <v>87</v>
      </c>
      <c r="D500" s="1131"/>
      <c r="E500" s="1234"/>
      <c r="F500" s="298">
        <f>'COMP AUX'!G390</f>
        <v>4.79</v>
      </c>
      <c r="G500" s="312">
        <f>TRUNC(E499*F500,2)</f>
        <v>0.95</v>
      </c>
    </row>
    <row r="501" spans="1:8" ht="14.1" customHeight="1">
      <c r="E501" s="483"/>
      <c r="F501" s="384" t="s">
        <v>90</v>
      </c>
      <c r="G501" s="312">
        <f>G499</f>
        <v>3.17</v>
      </c>
    </row>
    <row r="502" spans="1:8" ht="14.1" customHeight="1">
      <c r="F502" s="301" t="s">
        <v>92</v>
      </c>
      <c r="G502" s="312">
        <f>G498+G500</f>
        <v>1.95</v>
      </c>
    </row>
    <row r="503" spans="1:8" ht="14.1" customHeight="1">
      <c r="A503" s="122" t="s">
        <v>94</v>
      </c>
      <c r="F503" s="301" t="s">
        <v>93</v>
      </c>
      <c r="G503" s="820">
        <f>SUM(G501:G502)</f>
        <v>5.12</v>
      </c>
    </row>
    <row r="504" spans="1:8" ht="14.1" customHeight="1">
      <c r="A504" s="300" t="s">
        <v>95</v>
      </c>
      <c r="B504" s="385">
        <f>G503</f>
        <v>5.12</v>
      </c>
    </row>
    <row r="505" spans="1:8" ht="14.1" customHeight="1">
      <c r="A505" s="382" t="s">
        <v>2272</v>
      </c>
      <c r="B505" s="381"/>
    </row>
    <row r="506" spans="1:8" ht="14.1" customHeight="1">
      <c r="A506" s="443" t="s">
        <v>2311</v>
      </c>
      <c r="B506" s="381">
        <f>(B504+B505)*0.245</f>
        <v>1.2544</v>
      </c>
    </row>
    <row r="507" spans="1:8" ht="14.1" customHeight="1">
      <c r="A507" s="300" t="s">
        <v>98</v>
      </c>
      <c r="B507" s="386">
        <f>SUM(B504:B506)</f>
        <v>6.3743999999999996</v>
      </c>
      <c r="H507" s="394"/>
    </row>
    <row r="508" spans="1:8" ht="11.25" customHeight="1">
      <c r="A508" s="362"/>
      <c r="B508" s="363"/>
      <c r="C508" s="364"/>
      <c r="D508" s="362"/>
      <c r="E508" s="363"/>
      <c r="F508" s="363"/>
      <c r="G508" s="363"/>
      <c r="H508" s="362"/>
    </row>
    <row r="509" spans="1:8" ht="11.25" customHeight="1"/>
    <row r="510" spans="1:8" ht="11.25" customHeight="1">
      <c r="A510" s="122" t="s">
        <v>1194</v>
      </c>
      <c r="B510" s="462"/>
      <c r="C510" s="462"/>
      <c r="D510" s="462"/>
      <c r="E510" s="462"/>
      <c r="F510" s="462"/>
      <c r="G510" s="462"/>
    </row>
    <row r="511" spans="1:8" ht="11.25" customHeight="1">
      <c r="A511" s="148" t="s">
        <v>2437</v>
      </c>
      <c r="B511" s="130"/>
      <c r="C511" s="130"/>
      <c r="D511" s="130"/>
      <c r="E511" s="130"/>
      <c r="F511" s="130"/>
      <c r="G511" s="130"/>
    </row>
    <row r="512" spans="1:8" ht="20.25" customHeight="1">
      <c r="A512" s="481" t="s">
        <v>1555</v>
      </c>
      <c r="B512" s="481" t="s">
        <v>2662</v>
      </c>
      <c r="C512" s="477" t="s">
        <v>1487</v>
      </c>
      <c r="D512" s="481"/>
      <c r="E512" s="122"/>
      <c r="F512" s="122"/>
      <c r="G512" s="130"/>
    </row>
    <row r="513" spans="1:9" ht="27.75" customHeight="1">
      <c r="A513" s="309" t="s">
        <v>30</v>
      </c>
      <c r="B513" s="354" t="s">
        <v>19</v>
      </c>
      <c r="C513" s="293" t="s">
        <v>81</v>
      </c>
      <c r="D513" s="294" t="s">
        <v>77</v>
      </c>
      <c r="E513" s="294" t="s">
        <v>82</v>
      </c>
      <c r="F513" s="295" t="s">
        <v>83</v>
      </c>
      <c r="G513" s="355" t="s">
        <v>84</v>
      </c>
    </row>
    <row r="514" spans="1:9" ht="25.5" customHeight="1">
      <c r="A514" s="587" t="s">
        <v>2049</v>
      </c>
      <c r="B514" s="586" t="s">
        <v>2663</v>
      </c>
      <c r="C514" s="293" t="s">
        <v>87</v>
      </c>
      <c r="D514" s="541" t="s">
        <v>1487</v>
      </c>
      <c r="E514" s="540">
        <v>1.08</v>
      </c>
      <c r="F514" s="825">
        <v>6.99</v>
      </c>
      <c r="G514" s="312">
        <f>TRUNC(E514*F514,2)</f>
        <v>7.54</v>
      </c>
    </row>
    <row r="515" spans="1:9" ht="15" customHeight="1">
      <c r="A515" s="1159" t="s">
        <v>1322</v>
      </c>
      <c r="B515" s="1129" t="s">
        <v>110</v>
      </c>
      <c r="C515" s="293" t="s">
        <v>104</v>
      </c>
      <c r="D515" s="1153" t="s">
        <v>383</v>
      </c>
      <c r="E515" s="1162">
        <v>0.03</v>
      </c>
      <c r="F515" s="825">
        <f>'COMP AUX'!G104</f>
        <v>11.18</v>
      </c>
      <c r="G515" s="312">
        <f t="shared" ref="G515" si="21">TRUNC(E515*F515,2)</f>
        <v>0.33</v>
      </c>
    </row>
    <row r="516" spans="1:9" ht="15" customHeight="1">
      <c r="A516" s="1160"/>
      <c r="B516" s="1178"/>
      <c r="C516" s="293" t="s">
        <v>87</v>
      </c>
      <c r="D516" s="1154"/>
      <c r="E516" s="1163"/>
      <c r="F516" s="825">
        <f>'COMP AUX'!G105</f>
        <v>4.7300000000000004</v>
      </c>
      <c r="G516" s="312">
        <f>TRUNC(E515*F516,2)</f>
        <v>0.14000000000000001</v>
      </c>
    </row>
    <row r="517" spans="1:9" ht="15" customHeight="1">
      <c r="E517" s="483"/>
      <c r="F517" s="384" t="s">
        <v>90</v>
      </c>
      <c r="G517" s="312">
        <f>G515</f>
        <v>0.33</v>
      </c>
    </row>
    <row r="518" spans="1:9" ht="15" customHeight="1">
      <c r="F518" s="301" t="s">
        <v>92</v>
      </c>
      <c r="G518" s="312">
        <f>G514+G516</f>
        <v>7.68</v>
      </c>
    </row>
    <row r="519" spans="1:9" ht="15" customHeight="1">
      <c r="A519" s="122" t="s">
        <v>94</v>
      </c>
      <c r="F519" s="301" t="s">
        <v>93</v>
      </c>
      <c r="G519" s="820">
        <f>SUM(G517:G518)</f>
        <v>8.01</v>
      </c>
    </row>
    <row r="520" spans="1:9" ht="15" customHeight="1">
      <c r="A520" s="300" t="s">
        <v>95</v>
      </c>
      <c r="B520" s="385">
        <f>G519</f>
        <v>8.01</v>
      </c>
    </row>
    <row r="521" spans="1:9" ht="15" customHeight="1">
      <c r="A521" s="382" t="s">
        <v>2272</v>
      </c>
      <c r="B521" s="381"/>
    </row>
    <row r="522" spans="1:9" ht="15" customHeight="1">
      <c r="A522" s="443" t="s">
        <v>2311</v>
      </c>
      <c r="B522" s="381">
        <f>(B520+B521)*0.245</f>
        <v>1.9624499999999998</v>
      </c>
    </row>
    <row r="523" spans="1:9" ht="15" customHeight="1">
      <c r="A523" s="300" t="s">
        <v>98</v>
      </c>
      <c r="B523" s="386">
        <f>SUM(B520:B522)</f>
        <v>9.9724500000000003</v>
      </c>
      <c r="H523" s="394"/>
      <c r="I523" s="122" t="s">
        <v>2277</v>
      </c>
    </row>
    <row r="524" spans="1:9" ht="11.25" customHeight="1">
      <c r="A524" s="362"/>
      <c r="B524" s="363"/>
      <c r="C524" s="364"/>
      <c r="D524" s="362"/>
      <c r="E524" s="363"/>
      <c r="F524" s="363"/>
      <c r="G524" s="363"/>
      <c r="H524" s="362"/>
    </row>
    <row r="525" spans="1:9" ht="11.25" customHeight="1"/>
    <row r="526" spans="1:9" ht="11.25" customHeight="1">
      <c r="A526" s="826" t="s">
        <v>2709</v>
      </c>
      <c r="B526" s="462"/>
      <c r="C526" s="462"/>
      <c r="D526" s="462"/>
      <c r="E526" s="462"/>
      <c r="F526" s="462"/>
      <c r="G526" s="462"/>
    </row>
    <row r="527" spans="1:9" ht="11.25" customHeight="1">
      <c r="A527" s="148" t="s">
        <v>2434</v>
      </c>
      <c r="B527" s="130"/>
      <c r="C527" s="130"/>
      <c r="D527" s="130"/>
      <c r="E527" s="130"/>
      <c r="F527" s="130"/>
      <c r="G527" s="130"/>
    </row>
    <row r="528" spans="1:9" ht="19.5" customHeight="1">
      <c r="A528" s="481" t="s">
        <v>1555</v>
      </c>
      <c r="B528" s="1116" t="s">
        <v>2664</v>
      </c>
      <c r="C528" s="1116"/>
      <c r="D528" s="477" t="s">
        <v>391</v>
      </c>
      <c r="E528" s="122"/>
      <c r="F528" s="122"/>
      <c r="G528" s="130"/>
    </row>
    <row r="529" spans="1:9" ht="26.25" customHeight="1">
      <c r="A529" s="309" t="s">
        <v>30</v>
      </c>
      <c r="B529" s="354" t="s">
        <v>19</v>
      </c>
      <c r="C529" s="293" t="s">
        <v>81</v>
      </c>
      <c r="D529" s="294" t="s">
        <v>77</v>
      </c>
      <c r="E529" s="294" t="s">
        <v>82</v>
      </c>
      <c r="F529" s="295" t="s">
        <v>83</v>
      </c>
      <c r="G529" s="355" t="s">
        <v>84</v>
      </c>
    </row>
    <row r="530" spans="1:9" ht="25.5" customHeight="1">
      <c r="A530" s="565">
        <v>20065</v>
      </c>
      <c r="B530" s="586" t="s">
        <v>2051</v>
      </c>
      <c r="C530" s="293" t="s">
        <v>87</v>
      </c>
      <c r="D530" s="541" t="s">
        <v>391</v>
      </c>
      <c r="E530" s="540">
        <v>1</v>
      </c>
      <c r="F530" s="825">
        <v>10.24</v>
      </c>
      <c r="G530" s="312">
        <f>TRUNC(E530*F530,2)</f>
        <v>10.24</v>
      </c>
    </row>
    <row r="531" spans="1:9" ht="18" customHeight="1">
      <c r="A531" s="1181">
        <v>88277</v>
      </c>
      <c r="B531" s="1129" t="s">
        <v>2050</v>
      </c>
      <c r="C531" s="293" t="s">
        <v>104</v>
      </c>
      <c r="D531" s="1155" t="s">
        <v>383</v>
      </c>
      <c r="E531" s="1162">
        <v>0.06</v>
      </c>
      <c r="F531" s="825">
        <f>'COMP AUX'!G753</f>
        <v>11.11</v>
      </c>
      <c r="G531" s="312">
        <f t="shared" ref="G531:G533" si="22">TRUNC(E531*F531,2)</f>
        <v>0.66</v>
      </c>
    </row>
    <row r="532" spans="1:9" ht="18" customHeight="1">
      <c r="A532" s="1182"/>
      <c r="B532" s="1130"/>
      <c r="C532" s="293" t="s">
        <v>87</v>
      </c>
      <c r="D532" s="1156"/>
      <c r="E532" s="1163"/>
      <c r="F532" s="825">
        <f>'COMP AUX'!G754</f>
        <v>4</v>
      </c>
      <c r="G532" s="312">
        <f>TRUNC(E531*F532,2)</f>
        <v>0.24</v>
      </c>
    </row>
    <row r="533" spans="1:9" ht="15" customHeight="1">
      <c r="A533" s="1159" t="s">
        <v>1322</v>
      </c>
      <c r="B533" s="1129" t="s">
        <v>110</v>
      </c>
      <c r="C533" s="293" t="s">
        <v>104</v>
      </c>
      <c r="D533" s="1153" t="s">
        <v>383</v>
      </c>
      <c r="E533" s="1165">
        <v>2.5657999999999999</v>
      </c>
      <c r="F533" s="825">
        <f>'COMP AUX'!G104</f>
        <v>11.18</v>
      </c>
      <c r="G533" s="312">
        <f t="shared" si="22"/>
        <v>28.68</v>
      </c>
    </row>
    <row r="534" spans="1:9" ht="15" customHeight="1">
      <c r="A534" s="1160"/>
      <c r="B534" s="1178"/>
      <c r="C534" s="293" t="s">
        <v>87</v>
      </c>
      <c r="D534" s="1154"/>
      <c r="E534" s="1166"/>
      <c r="F534" s="825">
        <f>'COMP AUX'!G105</f>
        <v>4.7300000000000004</v>
      </c>
      <c r="G534" s="312">
        <f>TRUNC(E533*F534,2)</f>
        <v>12.13</v>
      </c>
    </row>
    <row r="535" spans="1:9" ht="15" customHeight="1">
      <c r="E535" s="483"/>
      <c r="F535" s="384" t="s">
        <v>90</v>
      </c>
      <c r="G535" s="312">
        <f>G531+G533</f>
        <v>29.34</v>
      </c>
    </row>
    <row r="536" spans="1:9" ht="15" customHeight="1">
      <c r="F536" s="301" t="s">
        <v>92</v>
      </c>
      <c r="G536" s="312">
        <f>G530+G532+G534</f>
        <v>22.61</v>
      </c>
    </row>
    <row r="537" spans="1:9" ht="15" customHeight="1">
      <c r="A537" s="122" t="s">
        <v>94</v>
      </c>
      <c r="F537" s="301" t="s">
        <v>93</v>
      </c>
      <c r="G537" s="820">
        <f>SUM(G535:G536)</f>
        <v>51.95</v>
      </c>
    </row>
    <row r="538" spans="1:9" ht="15" customHeight="1">
      <c r="A538" s="300" t="s">
        <v>95</v>
      </c>
      <c r="B538" s="385">
        <f>G537</f>
        <v>51.95</v>
      </c>
    </row>
    <row r="539" spans="1:9" ht="15" customHeight="1">
      <c r="A539" s="382" t="s">
        <v>2272</v>
      </c>
      <c r="B539" s="381"/>
    </row>
    <row r="540" spans="1:9" ht="15" customHeight="1">
      <c r="A540" s="443" t="s">
        <v>2311</v>
      </c>
      <c r="B540" s="381">
        <f>(B538+B539)*0.245</f>
        <v>12.72775</v>
      </c>
    </row>
    <row r="541" spans="1:9" ht="15" customHeight="1">
      <c r="A541" s="300" t="s">
        <v>98</v>
      </c>
      <c r="B541" s="386">
        <f>SUM(B538:B540)</f>
        <v>64.677750000000003</v>
      </c>
      <c r="H541" s="394"/>
      <c r="I541" s="122" t="s">
        <v>2277</v>
      </c>
    </row>
    <row r="542" spans="1:9" ht="11.25" customHeight="1">
      <c r="A542" s="362"/>
      <c r="B542" s="363"/>
      <c r="C542" s="364"/>
      <c r="D542" s="362"/>
      <c r="E542" s="363"/>
      <c r="F542" s="363"/>
      <c r="G542" s="363"/>
      <c r="H542" s="362"/>
    </row>
    <row r="543" spans="1:9" ht="11.25" customHeight="1"/>
    <row r="544" spans="1:9" ht="11.25" customHeight="1">
      <c r="A544" s="826" t="s">
        <v>2709</v>
      </c>
      <c r="B544" s="462"/>
      <c r="C544" s="462"/>
      <c r="D544" s="462"/>
      <c r="E544" s="462"/>
      <c r="F544" s="462"/>
      <c r="G544" s="462"/>
    </row>
    <row r="545" spans="1:9" ht="11.25" customHeight="1">
      <c r="A545" s="148" t="s">
        <v>2433</v>
      </c>
      <c r="B545" s="130"/>
      <c r="C545" s="130"/>
      <c r="D545" s="130"/>
      <c r="E545" s="130"/>
      <c r="F545" s="130"/>
      <c r="G545" s="130"/>
    </row>
    <row r="546" spans="1:9" ht="30.75" customHeight="1">
      <c r="A546" s="481" t="s">
        <v>1555</v>
      </c>
      <c r="B546" s="481" t="s">
        <v>2665</v>
      </c>
      <c r="C546" s="477" t="s">
        <v>391</v>
      </c>
      <c r="E546" s="122"/>
      <c r="F546" s="122"/>
      <c r="G546" s="130"/>
    </row>
    <row r="547" spans="1:9" ht="26.25" customHeight="1">
      <c r="A547" s="309" t="s">
        <v>30</v>
      </c>
      <c r="B547" s="354" t="s">
        <v>19</v>
      </c>
      <c r="C547" s="293" t="s">
        <v>81</v>
      </c>
      <c r="D547" s="294" t="s">
        <v>77</v>
      </c>
      <c r="E547" s="294" t="s">
        <v>82</v>
      </c>
      <c r="F547" s="295" t="s">
        <v>83</v>
      </c>
      <c r="G547" s="355" t="s">
        <v>84</v>
      </c>
    </row>
    <row r="548" spans="1:9" ht="25.5" customHeight="1">
      <c r="A548" s="565" t="s">
        <v>2056</v>
      </c>
      <c r="B548" s="586" t="s">
        <v>2666</v>
      </c>
      <c r="C548" s="293" t="s">
        <v>87</v>
      </c>
      <c r="D548" s="541" t="s">
        <v>391</v>
      </c>
      <c r="E548" s="540">
        <v>1</v>
      </c>
      <c r="F548" s="825">
        <v>24.81</v>
      </c>
      <c r="G548" s="312">
        <f>TRUNC(E548*F548,2)</f>
        <v>24.81</v>
      </c>
    </row>
    <row r="549" spans="1:9" ht="15" customHeight="1">
      <c r="A549" s="1181">
        <v>88267</v>
      </c>
      <c r="B549" s="1129" t="s">
        <v>271</v>
      </c>
      <c r="C549" s="293" t="s">
        <v>104</v>
      </c>
      <c r="D549" s="1155" t="s">
        <v>383</v>
      </c>
      <c r="E549" s="1162">
        <v>0.2</v>
      </c>
      <c r="F549" s="825">
        <f>'COMP AUX'!G338</f>
        <v>15.5</v>
      </c>
      <c r="G549" s="312">
        <f t="shared" ref="G549" si="23">TRUNC(E549*F549,2)</f>
        <v>3.1</v>
      </c>
    </row>
    <row r="550" spans="1:9" ht="15" customHeight="1">
      <c r="A550" s="1182"/>
      <c r="B550" s="1130"/>
      <c r="C550" s="293" t="s">
        <v>87</v>
      </c>
      <c r="D550" s="1156"/>
      <c r="E550" s="1163"/>
      <c r="F550" s="825">
        <f>'COMP AUX'!G339</f>
        <v>4.4000000000000004</v>
      </c>
      <c r="G550" s="312">
        <f>TRUNC(E549*F550,2)</f>
        <v>0.88</v>
      </c>
    </row>
    <row r="551" spans="1:9" ht="15" customHeight="1">
      <c r="A551" s="1159" t="s">
        <v>1322</v>
      </c>
      <c r="B551" s="1129" t="s">
        <v>110</v>
      </c>
      <c r="C551" s="293" t="s">
        <v>104</v>
      </c>
      <c r="D551" s="1153" t="s">
        <v>383</v>
      </c>
      <c r="E551" s="1165">
        <v>0.8</v>
      </c>
      <c r="F551" s="825">
        <f>'COMP AUX'!G104</f>
        <v>11.18</v>
      </c>
      <c r="G551" s="312">
        <f t="shared" ref="G551" si="24">TRUNC(E551*F551,2)</f>
        <v>8.94</v>
      </c>
    </row>
    <row r="552" spans="1:9" ht="15" customHeight="1">
      <c r="A552" s="1160"/>
      <c r="B552" s="1178"/>
      <c r="C552" s="293" t="s">
        <v>87</v>
      </c>
      <c r="D552" s="1154"/>
      <c r="E552" s="1166"/>
      <c r="F552" s="825">
        <f>'COMP AUX'!G105</f>
        <v>4.7300000000000004</v>
      </c>
      <c r="G552" s="312">
        <f>TRUNC(E551*F552,2)</f>
        <v>3.78</v>
      </c>
    </row>
    <row r="553" spans="1:9" ht="15" customHeight="1">
      <c r="E553" s="483"/>
      <c r="F553" s="384" t="s">
        <v>90</v>
      </c>
      <c r="G553" s="312">
        <f>G549+G551</f>
        <v>12.04</v>
      </c>
    </row>
    <row r="554" spans="1:9" ht="15" customHeight="1">
      <c r="F554" s="301" t="s">
        <v>92</v>
      </c>
      <c r="G554" s="312">
        <f>G548+G550+G552</f>
        <v>29.47</v>
      </c>
    </row>
    <row r="555" spans="1:9" ht="15" customHeight="1">
      <c r="A555" s="122" t="s">
        <v>94</v>
      </c>
      <c r="F555" s="301" t="s">
        <v>93</v>
      </c>
      <c r="G555" s="820">
        <f>SUM(G553:G554)</f>
        <v>41.51</v>
      </c>
    </row>
    <row r="556" spans="1:9" ht="15" customHeight="1">
      <c r="A556" s="300" t="s">
        <v>95</v>
      </c>
      <c r="B556" s="385">
        <f>G555</f>
        <v>41.51</v>
      </c>
    </row>
    <row r="557" spans="1:9" ht="15" customHeight="1">
      <c r="A557" s="382" t="s">
        <v>2272</v>
      </c>
      <c r="B557" s="381"/>
    </row>
    <row r="558" spans="1:9" ht="15" customHeight="1">
      <c r="A558" s="443" t="s">
        <v>2311</v>
      </c>
      <c r="B558" s="381">
        <f>(B556+B557)*0.245</f>
        <v>10.16995</v>
      </c>
    </row>
    <row r="559" spans="1:9" ht="15" customHeight="1">
      <c r="A559" s="300" t="s">
        <v>98</v>
      </c>
      <c r="B559" s="386">
        <f>SUM(B556:B558)</f>
        <v>51.679949999999998</v>
      </c>
      <c r="H559" s="394"/>
      <c r="I559" s="122" t="s">
        <v>2277</v>
      </c>
    </row>
    <row r="560" spans="1:9" ht="11.25" customHeight="1">
      <c r="A560" s="362"/>
      <c r="B560" s="363"/>
      <c r="C560" s="364"/>
      <c r="D560" s="362"/>
      <c r="E560" s="363"/>
      <c r="F560" s="363"/>
      <c r="G560" s="363"/>
      <c r="H560" s="362"/>
    </row>
    <row r="561" spans="1:9" ht="11.25" customHeight="1"/>
    <row r="562" spans="1:9" ht="11.25" customHeight="1">
      <c r="A562" s="826" t="s">
        <v>2709</v>
      </c>
      <c r="B562" s="462"/>
      <c r="C562" s="462"/>
      <c r="D562" s="462"/>
      <c r="E562" s="462"/>
      <c r="F562" s="462"/>
      <c r="G562" s="462"/>
    </row>
    <row r="563" spans="1:9" ht="16.5" customHeight="1">
      <c r="A563" s="148" t="s">
        <v>2432</v>
      </c>
      <c r="B563" s="130"/>
      <c r="C563" s="130"/>
      <c r="D563" s="130"/>
      <c r="E563" s="130"/>
      <c r="F563" s="130"/>
      <c r="G563" s="130"/>
    </row>
    <row r="564" spans="1:9" ht="17.25" customHeight="1">
      <c r="A564" s="481" t="s">
        <v>1555</v>
      </c>
      <c r="B564" s="481" t="s">
        <v>2057</v>
      </c>
      <c r="C564" s="477" t="s">
        <v>1316</v>
      </c>
      <c r="D564" s="481"/>
      <c r="E564" s="122"/>
      <c r="F564" s="122"/>
      <c r="G564" s="130"/>
    </row>
    <row r="565" spans="1:9" ht="26.25" customHeight="1">
      <c r="A565" s="309" t="s">
        <v>30</v>
      </c>
      <c r="B565" s="354" t="s">
        <v>19</v>
      </c>
      <c r="C565" s="293" t="s">
        <v>81</v>
      </c>
      <c r="D565" s="294" t="s">
        <v>77</v>
      </c>
      <c r="E565" s="294" t="s">
        <v>82</v>
      </c>
      <c r="F565" s="295" t="s">
        <v>83</v>
      </c>
      <c r="G565" s="355" t="s">
        <v>84</v>
      </c>
    </row>
    <row r="566" spans="1:9" ht="27.75" customHeight="1">
      <c r="A566" s="587" t="s">
        <v>2058</v>
      </c>
      <c r="B566" s="586" t="s">
        <v>2059</v>
      </c>
      <c r="C566" s="293" t="s">
        <v>87</v>
      </c>
      <c r="D566" s="541" t="s">
        <v>1316</v>
      </c>
      <c r="E566" s="540">
        <v>1.1000000000000001</v>
      </c>
      <c r="F566" s="825">
        <v>68.790000000000006</v>
      </c>
      <c r="G566" s="312">
        <f>TRUNC(E566*F566,2)</f>
        <v>75.66</v>
      </c>
    </row>
    <row r="567" spans="1:9" ht="15" customHeight="1">
      <c r="A567" s="1159" t="s">
        <v>1322</v>
      </c>
      <c r="B567" s="1129" t="s">
        <v>110</v>
      </c>
      <c r="C567" s="293" t="s">
        <v>104</v>
      </c>
      <c r="D567" s="1153" t="s">
        <v>383</v>
      </c>
      <c r="E567" s="1162">
        <v>2.5</v>
      </c>
      <c r="F567" s="825">
        <f>'COMP AUX'!G104</f>
        <v>11.18</v>
      </c>
      <c r="G567" s="312">
        <f t="shared" ref="G567" si="25">TRUNC(E567*F567,2)</f>
        <v>27.95</v>
      </c>
    </row>
    <row r="568" spans="1:9" ht="15" customHeight="1">
      <c r="A568" s="1160"/>
      <c r="B568" s="1178"/>
      <c r="C568" s="293" t="s">
        <v>87</v>
      </c>
      <c r="D568" s="1154"/>
      <c r="E568" s="1163"/>
      <c r="F568" s="825">
        <f>'COMP AUX'!G105</f>
        <v>4.7300000000000004</v>
      </c>
      <c r="G568" s="312">
        <f>TRUNC(E567*F568,2)</f>
        <v>11.82</v>
      </c>
    </row>
    <row r="569" spans="1:9" ht="15" customHeight="1">
      <c r="E569" s="483"/>
      <c r="F569" s="384" t="s">
        <v>90</v>
      </c>
      <c r="G569" s="312">
        <f>G567</f>
        <v>27.95</v>
      </c>
    </row>
    <row r="570" spans="1:9" ht="15" customHeight="1">
      <c r="F570" s="301" t="s">
        <v>92</v>
      </c>
      <c r="G570" s="312">
        <f>G566+G568</f>
        <v>87.47999999999999</v>
      </c>
    </row>
    <row r="571" spans="1:9" ht="15" customHeight="1">
      <c r="A571" s="122" t="s">
        <v>94</v>
      </c>
      <c r="F571" s="301" t="s">
        <v>93</v>
      </c>
      <c r="G571" s="820">
        <f>SUM(G569:G570)</f>
        <v>115.42999999999999</v>
      </c>
    </row>
    <row r="572" spans="1:9" ht="15" customHeight="1">
      <c r="A572" s="300" t="s">
        <v>95</v>
      </c>
      <c r="B572" s="385">
        <f>G571</f>
        <v>115.42999999999999</v>
      </c>
    </row>
    <row r="573" spans="1:9" ht="15" customHeight="1">
      <c r="A573" s="382" t="s">
        <v>2272</v>
      </c>
      <c r="B573" s="381"/>
    </row>
    <row r="574" spans="1:9" ht="15" customHeight="1">
      <c r="A574" s="443" t="s">
        <v>2311</v>
      </c>
      <c r="B574" s="381">
        <f>(B572+B573)*0.245</f>
        <v>28.280349999999999</v>
      </c>
    </row>
    <row r="575" spans="1:9" ht="15" customHeight="1">
      <c r="A575" s="300" t="s">
        <v>98</v>
      </c>
      <c r="B575" s="386">
        <f>SUM(B572:B574)</f>
        <v>143.71035000000001</v>
      </c>
      <c r="H575" s="394"/>
      <c r="I575" s="122" t="s">
        <v>2277</v>
      </c>
    </row>
    <row r="576" spans="1:9" ht="11.25" customHeight="1">
      <c r="A576" s="362"/>
      <c r="B576" s="363"/>
      <c r="C576" s="364"/>
      <c r="D576" s="362"/>
      <c r="E576" s="363"/>
      <c r="F576" s="363"/>
      <c r="G576" s="363"/>
      <c r="H576" s="362"/>
    </row>
    <row r="577" spans="1:7" ht="11.25" customHeight="1"/>
    <row r="578" spans="1:7" ht="11.25" customHeight="1">
      <c r="A578" s="122" t="s">
        <v>1194</v>
      </c>
      <c r="B578" s="462"/>
      <c r="C578" s="462"/>
      <c r="D578" s="462"/>
      <c r="E578" s="462"/>
      <c r="F578" s="462"/>
      <c r="G578" s="462"/>
    </row>
    <row r="579" spans="1:7" ht="15.75" customHeight="1">
      <c r="A579" s="148" t="s">
        <v>2430</v>
      </c>
      <c r="B579" s="130"/>
      <c r="C579" s="130"/>
      <c r="D579" s="130"/>
      <c r="E579" s="130"/>
      <c r="F579" s="130"/>
      <c r="G579" s="130"/>
    </row>
    <row r="580" spans="1:7" ht="24.75" customHeight="1">
      <c r="A580" s="481" t="s">
        <v>1557</v>
      </c>
      <c r="B580" s="481" t="s">
        <v>2431</v>
      </c>
      <c r="C580" s="477" t="s">
        <v>1319</v>
      </c>
      <c r="E580" s="122"/>
      <c r="F580" s="122"/>
      <c r="G580" s="130"/>
    </row>
    <row r="581" spans="1:7" ht="25.5" customHeight="1">
      <c r="A581" s="309" t="s">
        <v>30</v>
      </c>
      <c r="B581" s="354" t="s">
        <v>19</v>
      </c>
      <c r="C581" s="293" t="s">
        <v>81</v>
      </c>
      <c r="D581" s="294" t="s">
        <v>77</v>
      </c>
      <c r="E581" s="294" t="s">
        <v>82</v>
      </c>
      <c r="F581" s="295" t="s">
        <v>83</v>
      </c>
      <c r="G581" s="355" t="s">
        <v>84</v>
      </c>
    </row>
    <row r="582" spans="1:7" ht="15" customHeight="1">
      <c r="A582" s="309" t="s">
        <v>1514</v>
      </c>
      <c r="B582" s="297" t="s">
        <v>1515</v>
      </c>
      <c r="C582" s="293" t="s">
        <v>87</v>
      </c>
      <c r="D582" s="294" t="s">
        <v>1319</v>
      </c>
      <c r="E582" s="294">
        <v>1.03E-2</v>
      </c>
      <c r="F582" s="294">
        <v>8.6199999999999992</v>
      </c>
      <c r="G582" s="296">
        <f t="shared" ref="G582:G583" si="26">TRUNC(E582*F582,2)</f>
        <v>0.08</v>
      </c>
    </row>
    <row r="583" spans="1:7" ht="36.75" customHeight="1">
      <c r="A583" s="309" t="s">
        <v>2194</v>
      </c>
      <c r="B583" s="297" t="s">
        <v>2195</v>
      </c>
      <c r="C583" s="293" t="s">
        <v>87</v>
      </c>
      <c r="D583" s="294" t="s">
        <v>381</v>
      </c>
      <c r="E583" s="294">
        <v>1.03</v>
      </c>
      <c r="F583" s="294">
        <v>5.01</v>
      </c>
      <c r="G583" s="296">
        <f t="shared" si="26"/>
        <v>5.16</v>
      </c>
    </row>
    <row r="584" spans="1:7" ht="15" customHeight="1">
      <c r="A584" s="1141" t="s">
        <v>1535</v>
      </c>
      <c r="B584" s="1129" t="s">
        <v>1388</v>
      </c>
      <c r="C584" s="293" t="s">
        <v>104</v>
      </c>
      <c r="D584" s="1153" t="s">
        <v>383</v>
      </c>
      <c r="E584" s="1153">
        <v>0.02</v>
      </c>
      <c r="F584" s="298">
        <f>'COMP AUX'!G168</f>
        <v>14.92</v>
      </c>
      <c r="G584" s="312">
        <f>TRUNC(E584*F584,2)</f>
        <v>0.28999999999999998</v>
      </c>
    </row>
    <row r="585" spans="1:7" ht="15" customHeight="1">
      <c r="A585" s="1142"/>
      <c r="B585" s="1130"/>
      <c r="C585" s="293" t="s">
        <v>87</v>
      </c>
      <c r="D585" s="1154"/>
      <c r="E585" s="1154"/>
      <c r="F585" s="298">
        <f>'COMP AUX'!G169</f>
        <v>4.79</v>
      </c>
      <c r="G585" s="312">
        <f>TRUNC(E584*F585,2)</f>
        <v>0.09</v>
      </c>
    </row>
    <row r="586" spans="1:7" ht="15" customHeight="1">
      <c r="A586" s="1141" t="s">
        <v>1322</v>
      </c>
      <c r="B586" s="1129" t="s">
        <v>110</v>
      </c>
      <c r="C586" s="293" t="s">
        <v>104</v>
      </c>
      <c r="D586" s="1131" t="s">
        <v>383</v>
      </c>
      <c r="E586" s="1223">
        <v>0.04</v>
      </c>
      <c r="F586" s="298">
        <f>'COMP AUX'!G104</f>
        <v>11.18</v>
      </c>
      <c r="G586" s="358">
        <f>TRUNC(E586*F586,2)</f>
        <v>0.44</v>
      </c>
    </row>
    <row r="587" spans="1:7" ht="15" customHeight="1">
      <c r="A587" s="1142"/>
      <c r="B587" s="1130"/>
      <c r="C587" s="293" t="s">
        <v>87</v>
      </c>
      <c r="D587" s="1131"/>
      <c r="E587" s="1224"/>
      <c r="F587" s="298">
        <f>'COMP AUX'!G105</f>
        <v>4.7300000000000004</v>
      </c>
      <c r="G587" s="296">
        <f>TRUNC(E586*F587,2)</f>
        <v>0.18</v>
      </c>
    </row>
    <row r="588" spans="1:7" ht="15" customHeight="1">
      <c r="E588" s="483"/>
      <c r="F588" s="384" t="s">
        <v>90</v>
      </c>
      <c r="G588" s="312">
        <f>G584+G586</f>
        <v>0.73</v>
      </c>
    </row>
    <row r="589" spans="1:7" ht="15" customHeight="1">
      <c r="F589" s="301" t="s">
        <v>92</v>
      </c>
      <c r="G589" s="312">
        <f>G582+G583+G585+G587</f>
        <v>5.51</v>
      </c>
    </row>
    <row r="590" spans="1:7" ht="15" customHeight="1">
      <c r="A590" s="122" t="s">
        <v>94</v>
      </c>
      <c r="F590" s="301" t="s">
        <v>93</v>
      </c>
      <c r="G590" s="313">
        <f>SUM(G588:G589)</f>
        <v>6.24</v>
      </c>
    </row>
    <row r="591" spans="1:7" ht="15" customHeight="1">
      <c r="A591" s="300" t="s">
        <v>95</v>
      </c>
      <c r="B591" s="385">
        <f>G590</f>
        <v>6.24</v>
      </c>
    </row>
    <row r="592" spans="1:7" ht="15" customHeight="1">
      <c r="A592" s="382" t="s">
        <v>2272</v>
      </c>
      <c r="B592" s="381"/>
    </row>
    <row r="593" spans="1:8" ht="15" customHeight="1">
      <c r="A593" s="443" t="s">
        <v>2311</v>
      </c>
      <c r="B593" s="381">
        <f>(B591+B592)*0.245</f>
        <v>1.5287999999999999</v>
      </c>
    </row>
    <row r="594" spans="1:8" ht="15" customHeight="1">
      <c r="A594" s="300" t="s">
        <v>98</v>
      </c>
      <c r="B594" s="386">
        <f>SUM(B591:B593)</f>
        <v>7.7688000000000006</v>
      </c>
    </row>
    <row r="595" spans="1:8" ht="11.25" customHeight="1">
      <c r="A595" s="362"/>
      <c r="B595" s="363"/>
      <c r="C595" s="364"/>
      <c r="D595" s="362"/>
      <c r="E595" s="363"/>
      <c r="F595" s="363"/>
      <c r="G595" s="363"/>
      <c r="H595" s="362"/>
    </row>
    <row r="596" spans="1:8" ht="11.25" customHeight="1"/>
    <row r="597" spans="1:8" ht="11.25" customHeight="1">
      <c r="A597" s="122" t="s">
        <v>1194</v>
      </c>
      <c r="B597" s="462"/>
      <c r="C597" s="462"/>
      <c r="D597" s="462"/>
      <c r="E597" s="462"/>
      <c r="F597" s="462"/>
      <c r="G597" s="462"/>
    </row>
    <row r="598" spans="1:8" ht="11.25" customHeight="1">
      <c r="A598" s="148" t="s">
        <v>2429</v>
      </c>
      <c r="B598" s="130"/>
      <c r="C598" s="130"/>
      <c r="D598" s="130"/>
      <c r="E598" s="130"/>
      <c r="F598" s="130"/>
      <c r="G598" s="130"/>
    </row>
    <row r="599" spans="1:8" ht="28.5" customHeight="1">
      <c r="A599" s="481" t="s">
        <v>1557</v>
      </c>
      <c r="B599" s="481" t="s">
        <v>1558</v>
      </c>
      <c r="C599" s="477" t="s">
        <v>1319</v>
      </c>
      <c r="D599" s="481"/>
      <c r="F599" s="122"/>
      <c r="G599" s="130"/>
    </row>
    <row r="600" spans="1:8" ht="24.75" customHeight="1">
      <c r="A600" s="309" t="s">
        <v>30</v>
      </c>
      <c r="B600" s="354" t="s">
        <v>19</v>
      </c>
      <c r="C600" s="293" t="s">
        <v>81</v>
      </c>
      <c r="D600" s="294" t="s">
        <v>77</v>
      </c>
      <c r="E600" s="294" t="s">
        <v>82</v>
      </c>
      <c r="F600" s="295" t="s">
        <v>83</v>
      </c>
      <c r="G600" s="355" t="s">
        <v>84</v>
      </c>
    </row>
    <row r="601" spans="1:8" ht="15" customHeight="1">
      <c r="A601" s="309" t="s">
        <v>1514</v>
      </c>
      <c r="B601" s="297" t="s">
        <v>1515</v>
      </c>
      <c r="C601" s="293" t="s">
        <v>87</v>
      </c>
      <c r="D601" s="294" t="s">
        <v>1319</v>
      </c>
      <c r="E601" s="294">
        <v>2.5000000000000001E-2</v>
      </c>
      <c r="F601" s="294">
        <v>13.2</v>
      </c>
      <c r="G601" s="296">
        <f t="shared" ref="G601:G603" si="27">TRUNC(E601*F601,2)</f>
        <v>0.33</v>
      </c>
    </row>
    <row r="602" spans="1:8" ht="36.75" customHeight="1">
      <c r="A602" s="309" t="s">
        <v>1533</v>
      </c>
      <c r="B602" s="297" t="s">
        <v>1534</v>
      </c>
      <c r="C602" s="293" t="s">
        <v>87</v>
      </c>
      <c r="D602" s="294" t="s">
        <v>381</v>
      </c>
      <c r="E602" s="294">
        <v>0.72399999999999998</v>
      </c>
      <c r="F602" s="294">
        <v>0.13</v>
      </c>
      <c r="G602" s="296">
        <f t="shared" si="27"/>
        <v>0.09</v>
      </c>
    </row>
    <row r="603" spans="1:8" ht="15" customHeight="1">
      <c r="A603" s="1141">
        <v>88238</v>
      </c>
      <c r="B603" s="1129" t="s">
        <v>1387</v>
      </c>
      <c r="C603" s="293" t="s">
        <v>104</v>
      </c>
      <c r="D603" s="1153" t="s">
        <v>383</v>
      </c>
      <c r="E603" s="1153">
        <v>3.7499999999999999E-2</v>
      </c>
      <c r="F603" s="831">
        <f>'COMP AUX'!G185</f>
        <v>10.39</v>
      </c>
      <c r="G603" s="312">
        <f t="shared" si="27"/>
        <v>0.38</v>
      </c>
    </row>
    <row r="604" spans="1:8" ht="15" customHeight="1">
      <c r="A604" s="1142"/>
      <c r="B604" s="1130"/>
      <c r="C604" s="293" t="s">
        <v>87</v>
      </c>
      <c r="D604" s="1154"/>
      <c r="E604" s="1154"/>
      <c r="F604" s="831">
        <f>'COMP AUX'!G186</f>
        <v>4.8</v>
      </c>
      <c r="G604" s="312">
        <f>TRUNC(E603*F604,2)</f>
        <v>0.18</v>
      </c>
    </row>
    <row r="605" spans="1:8" ht="15" customHeight="1">
      <c r="A605" s="1141" t="s">
        <v>1535</v>
      </c>
      <c r="B605" s="1129" t="s">
        <v>1388</v>
      </c>
      <c r="C605" s="293" t="s">
        <v>104</v>
      </c>
      <c r="D605" s="1153" t="s">
        <v>383</v>
      </c>
      <c r="E605" s="1153">
        <v>0.11550000000000001</v>
      </c>
      <c r="F605" s="831">
        <f>'COMP AUX'!G168</f>
        <v>14.92</v>
      </c>
      <c r="G605" s="312">
        <f>TRUNC(E605*F605,2)</f>
        <v>1.72</v>
      </c>
    </row>
    <row r="606" spans="1:8" ht="15" customHeight="1">
      <c r="A606" s="1142"/>
      <c r="B606" s="1130"/>
      <c r="C606" s="293" t="s">
        <v>87</v>
      </c>
      <c r="D606" s="1154"/>
      <c r="E606" s="1154"/>
      <c r="F606" s="831">
        <f>'COMP AUX'!G169</f>
        <v>4.79</v>
      </c>
      <c r="G606" s="312">
        <f>TRUNC(E605*F606,2)</f>
        <v>0.55000000000000004</v>
      </c>
    </row>
    <row r="607" spans="1:8" ht="15" customHeight="1">
      <c r="A607" s="1141">
        <v>92793</v>
      </c>
      <c r="B607" s="1129" t="s">
        <v>2428</v>
      </c>
      <c r="C607" s="293" t="s">
        <v>104</v>
      </c>
      <c r="D607" s="1153" t="s">
        <v>1319</v>
      </c>
      <c r="E607" s="1223">
        <v>1</v>
      </c>
      <c r="F607" s="298">
        <f>'COMP AUX'!G1166</f>
        <v>0.36</v>
      </c>
      <c r="G607" s="312">
        <f>TRUNC(E607*F607,2)</f>
        <v>0.36</v>
      </c>
    </row>
    <row r="608" spans="1:8" ht="15" customHeight="1">
      <c r="A608" s="1142"/>
      <c r="B608" s="1130"/>
      <c r="C608" s="293" t="s">
        <v>87</v>
      </c>
      <c r="D608" s="1154"/>
      <c r="E608" s="1224"/>
      <c r="F608" s="298">
        <f>'COMP AUX'!G1167</f>
        <v>5.68</v>
      </c>
      <c r="G608" s="312">
        <f>TRUNC(E607*F608,2)</f>
        <v>5.68</v>
      </c>
    </row>
    <row r="609" spans="1:9" ht="15" customHeight="1">
      <c r="E609" s="483"/>
      <c r="F609" s="384" t="s">
        <v>90</v>
      </c>
      <c r="G609" s="312">
        <f>G603+G605+G607</f>
        <v>2.46</v>
      </c>
    </row>
    <row r="610" spans="1:9" ht="15" customHeight="1">
      <c r="F610" s="301" t="s">
        <v>92</v>
      </c>
      <c r="G610" s="312">
        <f>G601+G602+G604+G606+G608</f>
        <v>6.83</v>
      </c>
    </row>
    <row r="611" spans="1:9" ht="15" customHeight="1">
      <c r="A611" s="122" t="s">
        <v>94</v>
      </c>
      <c r="F611" s="301" t="s">
        <v>93</v>
      </c>
      <c r="G611" s="820">
        <f>SUM(G609:G610)</f>
        <v>9.2899999999999991</v>
      </c>
    </row>
    <row r="612" spans="1:9" ht="15" customHeight="1">
      <c r="A612" s="300" t="s">
        <v>95</v>
      </c>
      <c r="B612" s="385">
        <f>G611</f>
        <v>9.2899999999999991</v>
      </c>
    </row>
    <row r="613" spans="1:9" ht="15" customHeight="1">
      <c r="A613" s="382" t="s">
        <v>2272</v>
      </c>
      <c r="B613" s="381"/>
    </row>
    <row r="614" spans="1:9" ht="15" customHeight="1">
      <c r="A614" s="443" t="s">
        <v>2311</v>
      </c>
      <c r="B614" s="381">
        <f>(B612+B613)*0.245</f>
        <v>2.2760499999999997</v>
      </c>
    </row>
    <row r="615" spans="1:9" ht="15" customHeight="1">
      <c r="A615" s="300" t="s">
        <v>98</v>
      </c>
      <c r="B615" s="386">
        <f>SUM(B612:B614)</f>
        <v>11.566049999999999</v>
      </c>
      <c r="H615" s="394"/>
      <c r="I615" s="122" t="s">
        <v>2277</v>
      </c>
    </row>
    <row r="616" spans="1:9" ht="11.25" customHeight="1">
      <c r="A616" s="362"/>
      <c r="B616" s="363"/>
      <c r="C616" s="364"/>
      <c r="D616" s="362"/>
      <c r="E616" s="363"/>
      <c r="F616" s="363"/>
      <c r="G616" s="363"/>
      <c r="H616" s="362"/>
    </row>
    <row r="617" spans="1:9" ht="11.25" customHeight="1"/>
    <row r="618" spans="1:9" ht="11.25" customHeight="1">
      <c r="A618" s="122" t="s">
        <v>2709</v>
      </c>
      <c r="B618" s="462"/>
      <c r="C618" s="462"/>
      <c r="D618" s="462"/>
      <c r="E618" s="462"/>
      <c r="F618" s="462"/>
      <c r="G618" s="462"/>
    </row>
    <row r="619" spans="1:9" ht="14.25" customHeight="1">
      <c r="A619" s="148" t="s">
        <v>2435</v>
      </c>
      <c r="B619" s="130"/>
      <c r="C619" s="130"/>
      <c r="D619" s="130"/>
      <c r="E619" s="130"/>
      <c r="F619" s="130"/>
      <c r="G619" s="130"/>
    </row>
    <row r="620" spans="1:9" ht="26.25" customHeight="1">
      <c r="A620" s="481" t="s">
        <v>1555</v>
      </c>
      <c r="B620" s="481" t="s">
        <v>2962</v>
      </c>
      <c r="C620" s="477" t="s">
        <v>1319</v>
      </c>
      <c r="D620" s="481"/>
      <c r="F620" s="122"/>
      <c r="G620" s="130"/>
    </row>
    <row r="621" spans="1:9" ht="25.5" customHeight="1">
      <c r="A621" s="309" t="s">
        <v>30</v>
      </c>
      <c r="B621" s="354" t="s">
        <v>19</v>
      </c>
      <c r="C621" s="293" t="s">
        <v>81</v>
      </c>
      <c r="D621" s="294" t="s">
        <v>77</v>
      </c>
      <c r="E621" s="294" t="s">
        <v>82</v>
      </c>
      <c r="F621" s="295" t="s">
        <v>83</v>
      </c>
      <c r="G621" s="355" t="s">
        <v>84</v>
      </c>
    </row>
    <row r="622" spans="1:9" ht="15" customHeight="1">
      <c r="A622" s="309">
        <v>337</v>
      </c>
      <c r="B622" s="297" t="s">
        <v>1515</v>
      </c>
      <c r="C622" s="293" t="s">
        <v>87</v>
      </c>
      <c r="D622" s="294" t="s">
        <v>1319</v>
      </c>
      <c r="E622" s="294">
        <v>2.5000000000000001E-2</v>
      </c>
      <c r="F622" s="294">
        <v>13.2</v>
      </c>
      <c r="G622" s="296">
        <f t="shared" ref="G622:G624" si="28">TRUNC(E622*F622,2)</f>
        <v>0.33</v>
      </c>
    </row>
    <row r="623" spans="1:9" ht="39.75" customHeight="1">
      <c r="A623" s="309" t="s">
        <v>1533</v>
      </c>
      <c r="B623" s="297" t="s">
        <v>1534</v>
      </c>
      <c r="C623" s="293" t="s">
        <v>87</v>
      </c>
      <c r="D623" s="294" t="s">
        <v>381</v>
      </c>
      <c r="E623" s="294">
        <v>0.46550000000000002</v>
      </c>
      <c r="F623" s="294">
        <v>0.13</v>
      </c>
      <c r="G623" s="296">
        <f t="shared" si="28"/>
        <v>0.06</v>
      </c>
    </row>
    <row r="624" spans="1:9" ht="15" customHeight="1">
      <c r="A624" s="1141" t="s">
        <v>1386</v>
      </c>
      <c r="B624" s="1129" t="s">
        <v>1387</v>
      </c>
      <c r="C624" s="293" t="s">
        <v>104</v>
      </c>
      <c r="D624" s="1153" t="s">
        <v>383</v>
      </c>
      <c r="E624" s="1153">
        <v>2.9000000000000001E-2</v>
      </c>
      <c r="F624" s="298">
        <f>'COMP AUX'!G185</f>
        <v>10.39</v>
      </c>
      <c r="G624" s="312">
        <f t="shared" si="28"/>
        <v>0.3</v>
      </c>
    </row>
    <row r="625" spans="1:9" ht="15" customHeight="1">
      <c r="A625" s="1142"/>
      <c r="B625" s="1130"/>
      <c r="C625" s="293" t="s">
        <v>87</v>
      </c>
      <c r="D625" s="1154"/>
      <c r="E625" s="1154"/>
      <c r="F625" s="298">
        <f>'COMP AUX'!G186</f>
        <v>4.8</v>
      </c>
      <c r="G625" s="312">
        <f>TRUNC(E624*F625,2)</f>
        <v>0.13</v>
      </c>
    </row>
    <row r="626" spans="1:9" ht="15" customHeight="1">
      <c r="A626" s="1141" t="s">
        <v>1535</v>
      </c>
      <c r="B626" s="1129" t="s">
        <v>1388</v>
      </c>
      <c r="C626" s="293" t="s">
        <v>104</v>
      </c>
      <c r="D626" s="1153" t="s">
        <v>383</v>
      </c>
      <c r="E626" s="1153">
        <v>8.8999999999999996E-2</v>
      </c>
      <c r="F626" s="298">
        <f>'COMP AUX'!G168</f>
        <v>14.92</v>
      </c>
      <c r="G626" s="312">
        <f>TRUNC(E626*F626,2)</f>
        <v>1.32</v>
      </c>
    </row>
    <row r="627" spans="1:9" ht="15" customHeight="1">
      <c r="A627" s="1142"/>
      <c r="B627" s="1130"/>
      <c r="C627" s="293" t="s">
        <v>87</v>
      </c>
      <c r="D627" s="1154"/>
      <c r="E627" s="1154"/>
      <c r="F627" s="298">
        <f>'COMP AUX'!G169</f>
        <v>4.79</v>
      </c>
      <c r="G627" s="312">
        <f>TRUNC(E626*F627,2)</f>
        <v>0.42</v>
      </c>
    </row>
    <row r="628" spans="1:9" ht="15" customHeight="1">
      <c r="A628" s="1141" t="s">
        <v>1537</v>
      </c>
      <c r="B628" s="1129" t="s">
        <v>2436</v>
      </c>
      <c r="C628" s="293" t="s">
        <v>104</v>
      </c>
      <c r="D628" s="1153" t="s">
        <v>1319</v>
      </c>
      <c r="E628" s="1223">
        <v>1</v>
      </c>
      <c r="F628" s="298">
        <v>0.26</v>
      </c>
      <c r="G628" s="312">
        <f>TRUNC(E628*F628,2)</f>
        <v>0.26</v>
      </c>
    </row>
    <row r="629" spans="1:9" ht="15" customHeight="1">
      <c r="A629" s="1142"/>
      <c r="B629" s="1130"/>
      <c r="C629" s="293" t="s">
        <v>87</v>
      </c>
      <c r="D629" s="1154"/>
      <c r="E629" s="1224"/>
      <c r="F629" s="298">
        <v>5.79</v>
      </c>
      <c r="G629" s="312">
        <f>TRUNC(E628*F629,2)</f>
        <v>5.79</v>
      </c>
    </row>
    <row r="630" spans="1:9" ht="15" customHeight="1">
      <c r="E630" s="483"/>
      <c r="F630" s="384" t="s">
        <v>90</v>
      </c>
      <c r="G630" s="312">
        <f>G624+G626+G628</f>
        <v>1.8800000000000001</v>
      </c>
    </row>
    <row r="631" spans="1:9" ht="15" customHeight="1">
      <c r="F631" s="301" t="s">
        <v>92</v>
      </c>
      <c r="G631" s="312">
        <f>G622+G623+G625+G627+G629</f>
        <v>6.73</v>
      </c>
    </row>
    <row r="632" spans="1:9" ht="15" customHeight="1">
      <c r="A632" s="122" t="s">
        <v>94</v>
      </c>
      <c r="F632" s="301" t="s">
        <v>93</v>
      </c>
      <c r="G632" s="820">
        <f>SUM(G630:G631)</f>
        <v>8.6100000000000012</v>
      </c>
    </row>
    <row r="633" spans="1:9" ht="15" customHeight="1">
      <c r="A633" s="300" t="s">
        <v>95</v>
      </c>
      <c r="B633" s="385">
        <f>G632</f>
        <v>8.6100000000000012</v>
      </c>
    </row>
    <row r="634" spans="1:9" ht="15" customHeight="1">
      <c r="A634" s="382" t="s">
        <v>2272</v>
      </c>
      <c r="B634" s="381"/>
    </row>
    <row r="635" spans="1:9" ht="15" customHeight="1">
      <c r="A635" s="443" t="s">
        <v>2311</v>
      </c>
      <c r="B635" s="381">
        <f>(B633+B634)*0.245</f>
        <v>2.1094500000000003</v>
      </c>
    </row>
    <row r="636" spans="1:9" ht="15" customHeight="1">
      <c r="A636" s="300" t="s">
        <v>98</v>
      </c>
      <c r="B636" s="386">
        <f>SUM(B633:B635)</f>
        <v>10.719450000000002</v>
      </c>
      <c r="H636" s="394"/>
      <c r="I636" s="122" t="s">
        <v>2277</v>
      </c>
    </row>
    <row r="637" spans="1:9" ht="11.25" customHeight="1">
      <c r="A637" s="362"/>
      <c r="B637" s="363"/>
      <c r="C637" s="364"/>
      <c r="D637" s="362"/>
      <c r="E637" s="363"/>
      <c r="F637" s="363"/>
      <c r="G637" s="363"/>
      <c r="H637" s="362"/>
    </row>
    <row r="638" spans="1:9" ht="11.25" customHeight="1"/>
    <row r="639" spans="1:9" ht="11.25" customHeight="1">
      <c r="A639" s="122" t="s">
        <v>1194</v>
      </c>
    </row>
    <row r="640" spans="1:9" ht="11.25" customHeight="1">
      <c r="A640" s="148" t="s">
        <v>2186</v>
      </c>
    </row>
    <row r="641" spans="1:7" ht="24" customHeight="1">
      <c r="A641" s="352" t="s">
        <v>1549</v>
      </c>
      <c r="B641" s="1161" t="s">
        <v>2187</v>
      </c>
      <c r="C641" s="1161"/>
      <c r="D641" s="1161"/>
      <c r="E641" s="608" t="s">
        <v>1487</v>
      </c>
      <c r="G641" s="353"/>
    </row>
    <row r="642" spans="1:7" ht="24" customHeight="1">
      <c r="A642" s="309" t="s">
        <v>30</v>
      </c>
      <c r="B642" s="354" t="s">
        <v>19</v>
      </c>
      <c r="C642" s="293" t="s">
        <v>81</v>
      </c>
      <c r="D642" s="294" t="s">
        <v>77</v>
      </c>
      <c r="E642" s="294" t="s">
        <v>82</v>
      </c>
      <c r="F642" s="295" t="s">
        <v>83</v>
      </c>
      <c r="G642" s="355" t="s">
        <v>84</v>
      </c>
    </row>
    <row r="643" spans="1:7" ht="15" customHeight="1">
      <c r="A643" s="1185">
        <v>88262</v>
      </c>
      <c r="B643" s="1231" t="s">
        <v>1565</v>
      </c>
      <c r="C643" s="293" t="s">
        <v>104</v>
      </c>
      <c r="D643" s="1131" t="s">
        <v>383</v>
      </c>
      <c r="E643" s="1162">
        <v>2.3570000000000002</v>
      </c>
      <c r="F643" s="298">
        <f>'COMP AUX'!G87</f>
        <v>14.92</v>
      </c>
      <c r="G643" s="358">
        <f>TRUNC(E643*F643,2)</f>
        <v>35.159999999999997</v>
      </c>
    </row>
    <row r="644" spans="1:7" ht="15" customHeight="1">
      <c r="A644" s="1185"/>
      <c r="B644" s="1231"/>
      <c r="C644" s="293" t="s">
        <v>87</v>
      </c>
      <c r="D644" s="1131"/>
      <c r="E644" s="1163"/>
      <c r="F644" s="298">
        <f>'COMP AUX'!G88</f>
        <v>4.75</v>
      </c>
      <c r="G644" s="296">
        <f>TRUNC(E643*F644,2)</f>
        <v>11.19</v>
      </c>
    </row>
    <row r="645" spans="1:7" ht="15" customHeight="1">
      <c r="A645" s="1185">
        <v>88239</v>
      </c>
      <c r="B645" s="1129" t="s">
        <v>942</v>
      </c>
      <c r="C645" s="293" t="s">
        <v>104</v>
      </c>
      <c r="D645" s="1131" t="s">
        <v>383</v>
      </c>
      <c r="E645" s="1153">
        <v>1.444</v>
      </c>
      <c r="F645" s="298">
        <f>'COMP AUX'!G202</f>
        <v>13.88</v>
      </c>
      <c r="G645" s="296">
        <f>TRUNC(E645*F645,2)</f>
        <v>20.04</v>
      </c>
    </row>
    <row r="646" spans="1:7" ht="15" customHeight="1">
      <c r="A646" s="1185"/>
      <c r="B646" s="1130"/>
      <c r="C646" s="293" t="s">
        <v>87</v>
      </c>
      <c r="D646" s="1131"/>
      <c r="E646" s="1154"/>
      <c r="F646" s="298">
        <f>'COMP AUX'!G203</f>
        <v>4.75</v>
      </c>
      <c r="G646" s="296">
        <f>TRUNC(E645*F646,2)</f>
        <v>6.85</v>
      </c>
    </row>
    <row r="647" spans="1:7" ht="26.25" customHeight="1">
      <c r="A647" s="309" t="s">
        <v>1566</v>
      </c>
      <c r="B647" s="297" t="s">
        <v>1567</v>
      </c>
      <c r="C647" s="293" t="s">
        <v>87</v>
      </c>
      <c r="D647" s="294" t="s">
        <v>1207</v>
      </c>
      <c r="E647" s="491">
        <v>1.7000000000000001E-2</v>
      </c>
      <c r="F647" s="294">
        <v>5.55</v>
      </c>
      <c r="G647" s="296">
        <f>TRUNC(E647*F647,2)</f>
        <v>0.09</v>
      </c>
    </row>
    <row r="648" spans="1:7" ht="21.75" customHeight="1">
      <c r="A648" s="309" t="s">
        <v>2188</v>
      </c>
      <c r="B648" s="297" t="s">
        <v>2191</v>
      </c>
      <c r="C648" s="293" t="s">
        <v>87</v>
      </c>
      <c r="D648" s="294" t="s">
        <v>391</v>
      </c>
      <c r="E648" s="311">
        <v>0.37</v>
      </c>
      <c r="F648" s="294">
        <v>4.33</v>
      </c>
      <c r="G648" s="312">
        <f t="shared" ref="G648:G651" si="29">TRUNC(E648*F648,2)</f>
        <v>1.6</v>
      </c>
    </row>
    <row r="649" spans="1:7" ht="24.75" customHeight="1">
      <c r="A649" s="309" t="s">
        <v>1568</v>
      </c>
      <c r="B649" s="297" t="s">
        <v>1495</v>
      </c>
      <c r="C649" s="293" t="s">
        <v>87</v>
      </c>
      <c r="D649" s="294" t="s">
        <v>391</v>
      </c>
      <c r="E649" s="311">
        <v>0.44</v>
      </c>
      <c r="F649" s="294">
        <v>1.17</v>
      </c>
      <c r="G649" s="312">
        <f t="shared" si="29"/>
        <v>0.51</v>
      </c>
    </row>
    <row r="650" spans="1:7" ht="25.5" customHeight="1">
      <c r="A650" s="309" t="s">
        <v>2189</v>
      </c>
      <c r="B650" s="297" t="s">
        <v>2192</v>
      </c>
      <c r="C650" s="293" t="s">
        <v>87</v>
      </c>
      <c r="D650" s="294" t="s">
        <v>1319</v>
      </c>
      <c r="E650" s="311">
        <v>3.9E-2</v>
      </c>
      <c r="F650" s="294">
        <v>9.15</v>
      </c>
      <c r="G650" s="312">
        <f t="shared" si="29"/>
        <v>0.35</v>
      </c>
    </row>
    <row r="651" spans="1:7" ht="22.5" customHeight="1">
      <c r="A651" s="309" t="s">
        <v>2190</v>
      </c>
      <c r="B651" s="297" t="s">
        <v>2193</v>
      </c>
      <c r="C651" s="293" t="s">
        <v>87</v>
      </c>
      <c r="D651" s="294" t="s">
        <v>391</v>
      </c>
      <c r="E651" s="311">
        <v>1.38</v>
      </c>
      <c r="F651" s="294">
        <v>3.58</v>
      </c>
      <c r="G651" s="312">
        <f t="shared" si="29"/>
        <v>4.9400000000000004</v>
      </c>
    </row>
    <row r="652" spans="1:7" ht="15" customHeight="1">
      <c r="E652" s="483"/>
      <c r="F652" s="360" t="s">
        <v>90</v>
      </c>
      <c r="G652" s="322">
        <f>G643+G645</f>
        <v>55.199999999999996</v>
      </c>
    </row>
    <row r="653" spans="1:7" ht="15" customHeight="1">
      <c r="F653" s="301" t="s">
        <v>92</v>
      </c>
      <c r="G653" s="312">
        <f>G644+G646+G647+G648+G649+G650+G651</f>
        <v>25.530000000000005</v>
      </c>
    </row>
    <row r="654" spans="1:7" ht="15" customHeight="1">
      <c r="A654" s="122" t="s">
        <v>94</v>
      </c>
      <c r="F654" s="301" t="s">
        <v>93</v>
      </c>
      <c r="G654" s="820">
        <f>SUM(G652:G653)</f>
        <v>80.73</v>
      </c>
    </row>
    <row r="655" spans="1:7" ht="15" customHeight="1">
      <c r="A655" s="300" t="s">
        <v>95</v>
      </c>
      <c r="B655" s="385">
        <f>G654</f>
        <v>80.73</v>
      </c>
    </row>
    <row r="656" spans="1:7" ht="15" customHeight="1">
      <c r="A656" s="382" t="s">
        <v>2272</v>
      </c>
      <c r="B656" s="381"/>
    </row>
    <row r="657" spans="1:8" ht="15" customHeight="1">
      <c r="A657" s="443" t="s">
        <v>2311</v>
      </c>
      <c r="B657" s="381">
        <f>(B655+B656)*0.245</f>
        <v>19.778850000000002</v>
      </c>
    </row>
    <row r="658" spans="1:8" ht="15" customHeight="1">
      <c r="A658" s="300" t="s">
        <v>98</v>
      </c>
      <c r="B658" s="386">
        <f>SUM(B655:B657)</f>
        <v>100.50885000000001</v>
      </c>
      <c r="H658" s="394"/>
    </row>
    <row r="659" spans="1:8" ht="11.25" customHeight="1">
      <c r="A659" s="362"/>
      <c r="B659" s="363"/>
      <c r="C659" s="364"/>
      <c r="D659" s="362"/>
      <c r="E659" s="363"/>
      <c r="F659" s="363"/>
      <c r="G659" s="363"/>
      <c r="H659" s="362"/>
    </row>
    <row r="660" spans="1:8" ht="11.25" customHeight="1"/>
    <row r="661" spans="1:8" ht="14.1" customHeight="1">
      <c r="A661" s="122" t="s">
        <v>1194</v>
      </c>
    </row>
    <row r="662" spans="1:8" ht="14.1" customHeight="1">
      <c r="A662" s="148" t="s">
        <v>1571</v>
      </c>
    </row>
    <row r="663" spans="1:8" ht="25.5" customHeight="1">
      <c r="A663" s="352" t="s">
        <v>1549</v>
      </c>
      <c r="B663" s="352" t="s">
        <v>2659</v>
      </c>
      <c r="C663" s="353" t="s">
        <v>1316</v>
      </c>
      <c r="D663" s="352"/>
      <c r="E663" s="352"/>
      <c r="G663" s="353"/>
    </row>
    <row r="664" spans="1:8" ht="31.5" customHeight="1">
      <c r="A664" s="309" t="s">
        <v>30</v>
      </c>
      <c r="B664" s="354" t="s">
        <v>19</v>
      </c>
      <c r="C664" s="293" t="s">
        <v>81</v>
      </c>
      <c r="D664" s="294" t="s">
        <v>77</v>
      </c>
      <c r="E664" s="294" t="s">
        <v>82</v>
      </c>
      <c r="F664" s="295" t="s">
        <v>83</v>
      </c>
      <c r="G664" s="355" t="s">
        <v>84</v>
      </c>
    </row>
    <row r="665" spans="1:8" ht="15" customHeight="1">
      <c r="A665" s="1141" t="s">
        <v>1322</v>
      </c>
      <c r="B665" s="1129" t="s">
        <v>110</v>
      </c>
      <c r="C665" s="293" t="s">
        <v>104</v>
      </c>
      <c r="D665" s="1131" t="s">
        <v>383</v>
      </c>
      <c r="E665" s="1162">
        <v>2.31</v>
      </c>
      <c r="F665" s="831">
        <f>'COMP AUX'!G104</f>
        <v>11.18</v>
      </c>
      <c r="G665" s="358">
        <f>TRUNC(E665*F665,2)</f>
        <v>25.82</v>
      </c>
    </row>
    <row r="666" spans="1:8" ht="15" customHeight="1">
      <c r="A666" s="1142"/>
      <c r="B666" s="1130"/>
      <c r="C666" s="293" t="s">
        <v>87</v>
      </c>
      <c r="D666" s="1131"/>
      <c r="E666" s="1163"/>
      <c r="F666" s="831">
        <f>'COMP AUX'!G105</f>
        <v>4.7300000000000004</v>
      </c>
      <c r="G666" s="296">
        <f>TRUNC(E665*F666,2)</f>
        <v>10.92</v>
      </c>
    </row>
    <row r="667" spans="1:8" ht="15" customHeight="1">
      <c r="A667" s="1185">
        <v>88377</v>
      </c>
      <c r="B667" s="1129" t="s">
        <v>1324</v>
      </c>
      <c r="C667" s="293" t="s">
        <v>104</v>
      </c>
      <c r="D667" s="1131" t="s">
        <v>383</v>
      </c>
      <c r="E667" s="1153">
        <v>1.46</v>
      </c>
      <c r="F667" s="831">
        <f>'COMP AUX'!G941</f>
        <v>10.280000000000001</v>
      </c>
      <c r="G667" s="296">
        <f>TRUNC(E667*F667,2)</f>
        <v>15</v>
      </c>
    </row>
    <row r="668" spans="1:8" ht="15" customHeight="1">
      <c r="A668" s="1185"/>
      <c r="B668" s="1130"/>
      <c r="C668" s="293" t="s">
        <v>87</v>
      </c>
      <c r="D668" s="1131"/>
      <c r="E668" s="1154"/>
      <c r="F668" s="831">
        <f>'COMP AUX'!G942</f>
        <v>3.99</v>
      </c>
      <c r="G668" s="296">
        <f>TRUNC(E667*F668,2)</f>
        <v>5.82</v>
      </c>
    </row>
    <row r="669" spans="1:8" ht="38.25" customHeight="1">
      <c r="A669" s="365" t="s">
        <v>1572</v>
      </c>
      <c r="B669" s="345" t="s">
        <v>1573</v>
      </c>
      <c r="C669" s="293" t="s">
        <v>1260</v>
      </c>
      <c r="D669" s="461" t="s">
        <v>1277</v>
      </c>
      <c r="E669" s="461">
        <v>0.75</v>
      </c>
      <c r="F669" s="298">
        <f>'COMP AUX'!G1223</f>
        <v>1.48</v>
      </c>
      <c r="G669" s="312">
        <f>TRUNC(E669*F669,2)</f>
        <v>1.1100000000000001</v>
      </c>
    </row>
    <row r="670" spans="1:8" ht="36.75" customHeight="1">
      <c r="A670" s="365">
        <v>88831</v>
      </c>
      <c r="B670" s="345" t="s">
        <v>1574</v>
      </c>
      <c r="C670" s="293" t="s">
        <v>1260</v>
      </c>
      <c r="D670" s="461" t="s">
        <v>1256</v>
      </c>
      <c r="E670" s="461">
        <v>0.71</v>
      </c>
      <c r="F670" s="298">
        <v>0.25</v>
      </c>
      <c r="G670" s="312">
        <f>TRUNC(E670*F670,2)</f>
        <v>0.17</v>
      </c>
    </row>
    <row r="671" spans="1:8" ht="30" customHeight="1">
      <c r="A671" s="309" t="s">
        <v>1317</v>
      </c>
      <c r="B671" s="297" t="s">
        <v>1318</v>
      </c>
      <c r="C671" s="293" t="s">
        <v>87</v>
      </c>
      <c r="D671" s="294" t="s">
        <v>1316</v>
      </c>
      <c r="E671" s="311">
        <v>0.751</v>
      </c>
      <c r="F671" s="294">
        <v>62.5</v>
      </c>
      <c r="G671" s="296">
        <f>TRUNC(E671*F671,2)</f>
        <v>46.93</v>
      </c>
    </row>
    <row r="672" spans="1:8" ht="15" customHeight="1">
      <c r="A672" s="309" t="s">
        <v>1042</v>
      </c>
      <c r="B672" s="297" t="s">
        <v>1043</v>
      </c>
      <c r="C672" s="293" t="s">
        <v>87</v>
      </c>
      <c r="D672" s="294" t="s">
        <v>1319</v>
      </c>
      <c r="E672" s="311">
        <v>362.66</v>
      </c>
      <c r="F672" s="294">
        <v>0.49</v>
      </c>
      <c r="G672" s="312">
        <f t="shared" ref="G672:G673" si="30">TRUNC(E672*F672,2)</f>
        <v>177.7</v>
      </c>
    </row>
    <row r="673" spans="1:9" ht="25.5" customHeight="1">
      <c r="A673" s="309" t="s">
        <v>1320</v>
      </c>
      <c r="B673" s="297" t="s">
        <v>1321</v>
      </c>
      <c r="C673" s="293" t="s">
        <v>87</v>
      </c>
      <c r="D673" s="294" t="s">
        <v>1316</v>
      </c>
      <c r="E673" s="311">
        <v>0.59299999999999997</v>
      </c>
      <c r="F673" s="294">
        <v>80</v>
      </c>
      <c r="G673" s="312">
        <f t="shared" si="30"/>
        <v>47.44</v>
      </c>
    </row>
    <row r="674" spans="1:9" ht="15" customHeight="1">
      <c r="E674" s="483"/>
      <c r="F674" s="360" t="s">
        <v>90</v>
      </c>
      <c r="G674" s="322">
        <f>G665+G667</f>
        <v>40.82</v>
      </c>
    </row>
    <row r="675" spans="1:9" ht="15" customHeight="1">
      <c r="F675" s="301" t="s">
        <v>92</v>
      </c>
      <c r="G675" s="312">
        <f>G666+G668+G669+G670+G671+G672+G673</f>
        <v>290.08999999999997</v>
      </c>
    </row>
    <row r="676" spans="1:9" ht="15" customHeight="1">
      <c r="A676" s="122" t="s">
        <v>94</v>
      </c>
      <c r="F676" s="301" t="s">
        <v>93</v>
      </c>
      <c r="G676" s="820">
        <f>SUM(G674:G675)</f>
        <v>330.90999999999997</v>
      </c>
    </row>
    <row r="677" spans="1:9" ht="15" customHeight="1">
      <c r="A677" s="300" t="s">
        <v>95</v>
      </c>
      <c r="B677" s="385">
        <f>G676</f>
        <v>330.90999999999997</v>
      </c>
    </row>
    <row r="678" spans="1:9" ht="15" customHeight="1">
      <c r="A678" s="382" t="s">
        <v>2272</v>
      </c>
      <c r="B678" s="381"/>
    </row>
    <row r="679" spans="1:9" ht="15" customHeight="1">
      <c r="A679" s="443" t="s">
        <v>2311</v>
      </c>
      <c r="B679" s="381">
        <f>(B677+B678)*0.245</f>
        <v>81.072949999999992</v>
      </c>
    </row>
    <row r="680" spans="1:9" ht="15" customHeight="1">
      <c r="A680" s="300" t="s">
        <v>98</v>
      </c>
      <c r="B680" s="386">
        <f>SUM(B677:B679)</f>
        <v>411.98294999999996</v>
      </c>
      <c r="H680" s="394"/>
      <c r="I680" s="122" t="s">
        <v>2277</v>
      </c>
    </row>
    <row r="681" spans="1:9" ht="11.25" customHeight="1">
      <c r="A681" s="362"/>
      <c r="B681" s="363"/>
      <c r="C681" s="364"/>
      <c r="D681" s="362"/>
      <c r="E681" s="363"/>
      <c r="F681" s="363"/>
      <c r="G681" s="363"/>
      <c r="H681" s="362"/>
    </row>
    <row r="682" spans="1:9" ht="11.25" customHeight="1"/>
    <row r="683" spans="1:9" ht="14.1" customHeight="1">
      <c r="A683" s="122" t="s">
        <v>2709</v>
      </c>
    </row>
    <row r="684" spans="1:9" ht="14.1" customHeight="1">
      <c r="A684" s="148" t="s">
        <v>1576</v>
      </c>
    </row>
    <row r="685" spans="1:9" ht="18" customHeight="1">
      <c r="A685" s="352" t="s">
        <v>1450</v>
      </c>
      <c r="B685" s="352" t="s">
        <v>2660</v>
      </c>
      <c r="C685" s="290" t="s">
        <v>1316</v>
      </c>
      <c r="E685" s="352"/>
      <c r="F685" s="122"/>
      <c r="G685" s="353"/>
    </row>
    <row r="686" spans="1:9" ht="30" customHeight="1">
      <c r="A686" s="309" t="s">
        <v>30</v>
      </c>
      <c r="B686" s="354" t="s">
        <v>19</v>
      </c>
      <c r="C686" s="293" t="s">
        <v>81</v>
      </c>
      <c r="D686" s="294" t="s">
        <v>77</v>
      </c>
      <c r="E686" s="294" t="s">
        <v>82</v>
      </c>
      <c r="F686" s="295" t="s">
        <v>83</v>
      </c>
      <c r="G686" s="355" t="s">
        <v>84</v>
      </c>
    </row>
    <row r="687" spans="1:9" ht="15.9" customHeight="1">
      <c r="A687" s="1141" t="s">
        <v>1322</v>
      </c>
      <c r="B687" s="1129" t="s">
        <v>110</v>
      </c>
      <c r="C687" s="293" t="s">
        <v>104</v>
      </c>
      <c r="D687" s="1131" t="s">
        <v>383</v>
      </c>
      <c r="E687" s="1162">
        <v>4.5</v>
      </c>
      <c r="F687" s="298">
        <f>'COMP AUX'!G104</f>
        <v>11.18</v>
      </c>
      <c r="G687" s="358">
        <f>TRUNC(E687*F687,2)</f>
        <v>50.31</v>
      </c>
    </row>
    <row r="688" spans="1:9" ht="15.9" customHeight="1">
      <c r="A688" s="1142"/>
      <c r="B688" s="1130"/>
      <c r="C688" s="293" t="s">
        <v>87</v>
      </c>
      <c r="D688" s="1131"/>
      <c r="E688" s="1163"/>
      <c r="F688" s="298">
        <f>'COMP AUX'!G105</f>
        <v>4.7300000000000004</v>
      </c>
      <c r="G688" s="296">
        <f>TRUNC(E687*F688,2)</f>
        <v>21.28</v>
      </c>
    </row>
    <row r="689" spans="1:9" ht="15.9" customHeight="1">
      <c r="A689" s="1159" t="s">
        <v>1520</v>
      </c>
      <c r="B689" s="1129" t="s">
        <v>118</v>
      </c>
      <c r="C689" s="293" t="s">
        <v>104</v>
      </c>
      <c r="D689" s="1155" t="s">
        <v>383</v>
      </c>
      <c r="E689" s="1162">
        <v>1.65</v>
      </c>
      <c r="F689" s="298">
        <f>'COMP AUX'!G151</f>
        <v>15.020000000000001</v>
      </c>
      <c r="G689" s="312">
        <f t="shared" ref="G689:G691" si="31">TRUNC(E689*F689,2)</f>
        <v>24.78</v>
      </c>
    </row>
    <row r="690" spans="1:9" ht="15.9" customHeight="1">
      <c r="A690" s="1160"/>
      <c r="B690" s="1130"/>
      <c r="C690" s="293" t="s">
        <v>87</v>
      </c>
      <c r="D690" s="1156"/>
      <c r="E690" s="1163"/>
      <c r="F690" s="298">
        <f>'COMP AUX'!G152</f>
        <v>4.79</v>
      </c>
      <c r="G690" s="312">
        <f>TRUNC(E689*F690,2)</f>
        <v>7.9</v>
      </c>
    </row>
    <row r="691" spans="1:9" ht="24.75" customHeight="1">
      <c r="A691" s="493" t="s">
        <v>1577</v>
      </c>
      <c r="B691" s="345" t="s">
        <v>1578</v>
      </c>
      <c r="C691" s="293" t="s">
        <v>1260</v>
      </c>
      <c r="D691" s="295" t="s">
        <v>1277</v>
      </c>
      <c r="E691" s="311">
        <v>0.3</v>
      </c>
      <c r="F691" s="298">
        <v>1.24</v>
      </c>
      <c r="G691" s="312">
        <f t="shared" si="31"/>
        <v>0.37</v>
      </c>
    </row>
    <row r="692" spans="1:9" ht="15" customHeight="1">
      <c r="F692" s="360" t="s">
        <v>90</v>
      </c>
      <c r="G692" s="322">
        <f>G687+G689</f>
        <v>75.09</v>
      </c>
    </row>
    <row r="693" spans="1:9" ht="15" customHeight="1">
      <c r="F693" s="301" t="s">
        <v>92</v>
      </c>
      <c r="G693" s="312">
        <f>G688+G690+G691</f>
        <v>29.55</v>
      </c>
    </row>
    <row r="694" spans="1:9" ht="15" customHeight="1">
      <c r="A694" s="122" t="s">
        <v>94</v>
      </c>
      <c r="F694" s="301" t="s">
        <v>93</v>
      </c>
      <c r="G694" s="820">
        <f>SUM(G692:G693)</f>
        <v>104.64</v>
      </c>
    </row>
    <row r="695" spans="1:9" ht="15" customHeight="1">
      <c r="A695" s="300" t="s">
        <v>95</v>
      </c>
      <c r="B695" s="385">
        <f>G694</f>
        <v>104.64</v>
      </c>
    </row>
    <row r="696" spans="1:9" ht="15" customHeight="1">
      <c r="A696" s="382" t="s">
        <v>2272</v>
      </c>
      <c r="B696" s="381"/>
    </row>
    <row r="697" spans="1:9" ht="15" customHeight="1">
      <c r="A697" s="443" t="s">
        <v>2311</v>
      </c>
      <c r="B697" s="381">
        <f>(B695+B696)*0.245</f>
        <v>25.636800000000001</v>
      </c>
    </row>
    <row r="698" spans="1:9" ht="15" customHeight="1">
      <c r="A698" s="300" t="s">
        <v>98</v>
      </c>
      <c r="B698" s="386">
        <f>SUM(B695:B697)</f>
        <v>130.27680000000001</v>
      </c>
      <c r="H698" s="394"/>
      <c r="I698" s="122" t="s">
        <v>2277</v>
      </c>
    </row>
    <row r="699" spans="1:9" ht="11.25" customHeight="1">
      <c r="A699" s="362"/>
      <c r="B699" s="363"/>
      <c r="C699" s="364"/>
      <c r="D699" s="362"/>
      <c r="E699" s="363"/>
      <c r="F699" s="363"/>
      <c r="G699" s="363"/>
      <c r="H699" s="362"/>
    </row>
    <row r="700" spans="1:9" ht="11.25" customHeight="1"/>
    <row r="701" spans="1:9" ht="11.25" customHeight="1">
      <c r="A701" s="122" t="s">
        <v>1194</v>
      </c>
    </row>
    <row r="702" spans="1:9" ht="11.25" customHeight="1">
      <c r="A702" s="148" t="s">
        <v>2438</v>
      </c>
    </row>
    <row r="703" spans="1:9" ht="17.25" customHeight="1">
      <c r="A703" s="352" t="s">
        <v>1450</v>
      </c>
      <c r="B703" s="1161" t="s">
        <v>2667</v>
      </c>
      <c r="C703" s="1161"/>
      <c r="D703" s="290" t="s">
        <v>1316</v>
      </c>
      <c r="E703" s="352"/>
      <c r="F703" s="122"/>
      <c r="G703" s="353"/>
    </row>
    <row r="704" spans="1:9" ht="25.5" customHeight="1">
      <c r="A704" s="309" t="s">
        <v>30</v>
      </c>
      <c r="B704" s="354" t="s">
        <v>19</v>
      </c>
      <c r="C704" s="293" t="s">
        <v>81</v>
      </c>
      <c r="D704" s="294" t="s">
        <v>77</v>
      </c>
      <c r="E704" s="294" t="s">
        <v>82</v>
      </c>
      <c r="F704" s="295" t="s">
        <v>83</v>
      </c>
      <c r="G704" s="355" t="s">
        <v>84</v>
      </c>
    </row>
    <row r="705" spans="1:9" ht="15" customHeight="1">
      <c r="A705" s="1141" t="s">
        <v>1322</v>
      </c>
      <c r="B705" s="1129" t="s">
        <v>110</v>
      </c>
      <c r="C705" s="293" t="s">
        <v>104</v>
      </c>
      <c r="D705" s="1155" t="s">
        <v>383</v>
      </c>
      <c r="E705" s="1162">
        <v>0.12</v>
      </c>
      <c r="F705" s="825">
        <f>'COMP AUX'!G104</f>
        <v>11.18</v>
      </c>
      <c r="G705" s="358">
        <f>TRUNC(E705*F705,2)</f>
        <v>1.34</v>
      </c>
    </row>
    <row r="706" spans="1:9" ht="15" customHeight="1">
      <c r="A706" s="1142"/>
      <c r="B706" s="1130"/>
      <c r="C706" s="293" t="s">
        <v>87</v>
      </c>
      <c r="D706" s="1156"/>
      <c r="E706" s="1163"/>
      <c r="F706" s="825">
        <f>'COMP AUX'!G105</f>
        <v>4.7300000000000004</v>
      </c>
      <c r="G706" s="312">
        <f>TRUNC(E705*F706,2)</f>
        <v>0.56000000000000005</v>
      </c>
    </row>
    <row r="707" spans="1:9" ht="15" customHeight="1">
      <c r="A707" s="1159">
        <v>88315</v>
      </c>
      <c r="B707" s="1129" t="s">
        <v>1701</v>
      </c>
      <c r="C707" s="293" t="s">
        <v>104</v>
      </c>
      <c r="D707" s="1155" t="s">
        <v>383</v>
      </c>
      <c r="E707" s="1162">
        <v>0.12</v>
      </c>
      <c r="F707" s="825">
        <f>'COMP AUX'!G440</f>
        <v>14.99</v>
      </c>
      <c r="G707" s="312">
        <f t="shared" ref="G707" si="32">TRUNC(E707*F707,2)</f>
        <v>1.79</v>
      </c>
    </row>
    <row r="708" spans="1:9" ht="15" customHeight="1">
      <c r="A708" s="1160"/>
      <c r="B708" s="1130"/>
      <c r="C708" s="293" t="s">
        <v>87</v>
      </c>
      <c r="D708" s="1156"/>
      <c r="E708" s="1163"/>
      <c r="F708" s="825">
        <f>'COMP AUX'!G441</f>
        <v>4.79</v>
      </c>
      <c r="G708" s="312">
        <f>TRUNC(E707*F708,2)</f>
        <v>0.56999999999999995</v>
      </c>
    </row>
    <row r="709" spans="1:9" ht="18.75" customHeight="1">
      <c r="A709" s="493" t="s">
        <v>1699</v>
      </c>
      <c r="B709" s="345" t="s">
        <v>2668</v>
      </c>
      <c r="C709" s="293" t="s">
        <v>87</v>
      </c>
      <c r="D709" s="295" t="s">
        <v>1319</v>
      </c>
      <c r="E709" s="311">
        <v>1.05</v>
      </c>
      <c r="F709" s="825">
        <v>6.27</v>
      </c>
      <c r="G709" s="312">
        <f t="shared" ref="G709" si="33">TRUNC(E709*F709,2)</f>
        <v>6.58</v>
      </c>
    </row>
    <row r="710" spans="1:9" ht="18" customHeight="1">
      <c r="A710" s="1141">
        <v>6391</v>
      </c>
      <c r="B710" s="1129" t="s">
        <v>2669</v>
      </c>
      <c r="C710" s="293" t="s">
        <v>104</v>
      </c>
      <c r="D710" s="1155" t="s">
        <v>391</v>
      </c>
      <c r="E710" s="1162">
        <v>6.0000000000000001E-3</v>
      </c>
      <c r="F710" s="825">
        <f>'COMP AUX'!G1352</f>
        <v>68.33</v>
      </c>
      <c r="G710" s="312">
        <f>TRUNC(E710*F710,2)</f>
        <v>0.4</v>
      </c>
    </row>
    <row r="711" spans="1:9" ht="18" customHeight="1">
      <c r="A711" s="1142"/>
      <c r="B711" s="1178"/>
      <c r="C711" s="293" t="s">
        <v>87</v>
      </c>
      <c r="D711" s="1156"/>
      <c r="E711" s="1163"/>
      <c r="F711" s="825">
        <f>'COMP AUX'!G1353</f>
        <v>63.980000000000004</v>
      </c>
      <c r="G711" s="312">
        <f>TRUNC(E710*F711,2)</f>
        <v>0.38</v>
      </c>
    </row>
    <row r="712" spans="1:9" ht="15" customHeight="1">
      <c r="F712" s="360" t="s">
        <v>90</v>
      </c>
      <c r="G712" s="322">
        <f>G705+G707+G710</f>
        <v>3.53</v>
      </c>
    </row>
    <row r="713" spans="1:9" ht="15" customHeight="1">
      <c r="F713" s="301" t="s">
        <v>92</v>
      </c>
      <c r="G713" s="312">
        <f>G706+G708+G709+G711</f>
        <v>8.09</v>
      </c>
    </row>
    <row r="714" spans="1:9" ht="15" customHeight="1">
      <c r="A714" s="122" t="s">
        <v>94</v>
      </c>
      <c r="F714" s="301" t="s">
        <v>93</v>
      </c>
      <c r="G714" s="820">
        <f>SUM(G712:G713)</f>
        <v>11.62</v>
      </c>
    </row>
    <row r="715" spans="1:9" ht="15" customHeight="1">
      <c r="A715" s="300" t="s">
        <v>95</v>
      </c>
      <c r="B715" s="385">
        <f>G714</f>
        <v>11.62</v>
      </c>
    </row>
    <row r="716" spans="1:9" ht="15" customHeight="1">
      <c r="A716" s="382" t="s">
        <v>2272</v>
      </c>
      <c r="B716" s="381"/>
    </row>
    <row r="717" spans="1:9" ht="15" customHeight="1">
      <c r="A717" s="443" t="s">
        <v>2311</v>
      </c>
      <c r="B717" s="381">
        <f>(B715+B716)*0.245</f>
        <v>2.8468999999999998</v>
      </c>
      <c r="C717" s="124">
        <v>6.18</v>
      </c>
      <c r="D717" s="122" t="s">
        <v>2973</v>
      </c>
    </row>
    <row r="718" spans="1:9" ht="15" customHeight="1">
      <c r="A718" s="300" t="s">
        <v>98</v>
      </c>
      <c r="B718" s="386">
        <f>SUM(B715:B717)</f>
        <v>14.466899999999999</v>
      </c>
      <c r="C718" s="124">
        <v>8.2899999999999991</v>
      </c>
      <c r="H718" s="394"/>
      <c r="I718" s="122" t="s">
        <v>2277</v>
      </c>
    </row>
    <row r="719" spans="1:9" ht="11.25" customHeight="1">
      <c r="A719" s="362"/>
      <c r="B719" s="363"/>
      <c r="C719" s="364"/>
      <c r="D719" s="362"/>
      <c r="E719" s="363"/>
      <c r="F719" s="363"/>
      <c r="G719" s="363"/>
      <c r="H719" s="362"/>
    </row>
    <row r="720" spans="1:9" ht="11.25" customHeight="1"/>
    <row r="721" spans="1:10" ht="11.25" customHeight="1">
      <c r="A721" s="122" t="s">
        <v>2709</v>
      </c>
    </row>
    <row r="722" spans="1:10" ht="15" customHeight="1">
      <c r="A722" s="836" t="s">
        <v>2633</v>
      </c>
    </row>
    <row r="723" spans="1:10" ht="30" customHeight="1">
      <c r="A723" s="352" t="s">
        <v>1450</v>
      </c>
      <c r="B723" s="834" t="s">
        <v>2758</v>
      </c>
      <c r="C723" s="290" t="s">
        <v>1487</v>
      </c>
      <c r="E723" s="352"/>
      <c r="F723" s="122"/>
      <c r="G723" s="353"/>
      <c r="J723" s="122" t="s">
        <v>2632</v>
      </c>
    </row>
    <row r="724" spans="1:10" ht="24" customHeight="1">
      <c r="A724" s="309" t="s">
        <v>30</v>
      </c>
      <c r="B724" s="354" t="s">
        <v>19</v>
      </c>
      <c r="C724" s="293" t="s">
        <v>81</v>
      </c>
      <c r="D724" s="294" t="s">
        <v>77</v>
      </c>
      <c r="E724" s="294" t="s">
        <v>82</v>
      </c>
      <c r="F724" s="295" t="s">
        <v>83</v>
      </c>
      <c r="G724" s="355" t="s">
        <v>84</v>
      </c>
    </row>
    <row r="725" spans="1:10" ht="15" customHeight="1">
      <c r="A725" s="1141" t="s">
        <v>1322</v>
      </c>
      <c r="B725" s="1129" t="s">
        <v>110</v>
      </c>
      <c r="C725" s="293" t="s">
        <v>104</v>
      </c>
      <c r="D725" s="1155" t="s">
        <v>383</v>
      </c>
      <c r="E725" s="1162">
        <v>0.06</v>
      </c>
      <c r="F725" s="825">
        <f>'COMP AUX'!G104</f>
        <v>11.18</v>
      </c>
      <c r="G725" s="853">
        <f>TRUNC(E725*F725,2)</f>
        <v>0.67</v>
      </c>
    </row>
    <row r="726" spans="1:10" ht="15" customHeight="1">
      <c r="A726" s="1142"/>
      <c r="B726" s="1130"/>
      <c r="C726" s="293" t="s">
        <v>87</v>
      </c>
      <c r="D726" s="1156"/>
      <c r="E726" s="1163"/>
      <c r="F726" s="825">
        <f>'COMP AUX'!G105</f>
        <v>4.7300000000000004</v>
      </c>
      <c r="G726" s="312">
        <f>TRUNC(E725*F726,2)</f>
        <v>0.28000000000000003</v>
      </c>
    </row>
    <row r="727" spans="1:10" ht="15" customHeight="1">
      <c r="A727" s="1159">
        <v>88323</v>
      </c>
      <c r="B727" s="1129" t="s">
        <v>902</v>
      </c>
      <c r="C727" s="293" t="s">
        <v>104</v>
      </c>
      <c r="D727" s="1155" t="s">
        <v>383</v>
      </c>
      <c r="E727" s="1162">
        <v>0.05</v>
      </c>
      <c r="F727" s="825">
        <f>'COMP AUX'!G219</f>
        <v>16.27</v>
      </c>
      <c r="G727" s="854">
        <f t="shared" ref="G727" si="34">TRUNC(E727*F727,2)</f>
        <v>0.81</v>
      </c>
    </row>
    <row r="728" spans="1:10" ht="15" customHeight="1">
      <c r="A728" s="1160"/>
      <c r="B728" s="1130"/>
      <c r="C728" s="293" t="s">
        <v>87</v>
      </c>
      <c r="D728" s="1156"/>
      <c r="E728" s="1163"/>
      <c r="F728" s="825">
        <f>'COMP AUX'!G220</f>
        <v>4.75</v>
      </c>
      <c r="G728" s="312">
        <f>TRUNC(E727*F728,2)</f>
        <v>0.23</v>
      </c>
    </row>
    <row r="729" spans="1:10" ht="35.1" customHeight="1">
      <c r="A729" s="565">
        <v>11029</v>
      </c>
      <c r="B729" s="331" t="s">
        <v>2687</v>
      </c>
      <c r="C729" s="293" t="s">
        <v>87</v>
      </c>
      <c r="D729" s="541" t="s">
        <v>1910</v>
      </c>
      <c r="E729" s="540">
        <v>4.1500000000000004</v>
      </c>
      <c r="F729" s="825">
        <v>1.1100000000000001</v>
      </c>
      <c r="G729" s="312">
        <f t="shared" ref="G729:G736" si="35">TRUNC(E729*F729,2)</f>
        <v>4.5999999999999996</v>
      </c>
    </row>
    <row r="730" spans="1:10" ht="35.1" customHeight="1">
      <c r="A730" s="782"/>
      <c r="B730" s="777" t="s">
        <v>2751</v>
      </c>
      <c r="C730" s="293" t="s">
        <v>87</v>
      </c>
      <c r="D730" s="778" t="s">
        <v>1553</v>
      </c>
      <c r="E730" s="850">
        <v>4.2640000000000001E-4</v>
      </c>
      <c r="F730" s="825">
        <v>152559.76999999999</v>
      </c>
      <c r="G730" s="959">
        <f t="shared" si="35"/>
        <v>65.05</v>
      </c>
    </row>
    <row r="731" spans="1:10" ht="23.25" customHeight="1">
      <c r="A731" s="1267"/>
      <c r="B731" s="1129" t="s">
        <v>2754</v>
      </c>
      <c r="C731" s="1189" t="s">
        <v>87</v>
      </c>
      <c r="D731" s="1155" t="s">
        <v>1553</v>
      </c>
      <c r="E731" s="850">
        <v>4.2632999999999999E-4</v>
      </c>
      <c r="F731" s="825">
        <v>60187</v>
      </c>
      <c r="G731" s="312">
        <f t="shared" si="35"/>
        <v>25.65</v>
      </c>
    </row>
    <row r="732" spans="1:10" ht="21.75" customHeight="1">
      <c r="A732" s="1268"/>
      <c r="B732" s="1130"/>
      <c r="C732" s="1190"/>
      <c r="D732" s="1156"/>
      <c r="E732" s="850">
        <v>4.2640000000000001E-4</v>
      </c>
      <c r="F732" s="825">
        <v>19500</v>
      </c>
      <c r="G732" s="312">
        <f t="shared" si="35"/>
        <v>8.31</v>
      </c>
    </row>
    <row r="733" spans="1:10" ht="35.1" customHeight="1">
      <c r="A733" s="782"/>
      <c r="B733" s="777" t="s">
        <v>2752</v>
      </c>
      <c r="C733" s="293" t="s">
        <v>87</v>
      </c>
      <c r="D733" s="778" t="s">
        <v>1553</v>
      </c>
      <c r="E733" s="850">
        <v>4.2640000000000001E-4</v>
      </c>
      <c r="F733" s="825">
        <v>129132.19</v>
      </c>
      <c r="G733" s="312">
        <f>TRUNC(E733*F733,2)</f>
        <v>55.06</v>
      </c>
    </row>
    <row r="734" spans="1:10" ht="35.1" customHeight="1">
      <c r="A734" s="782"/>
      <c r="B734" s="777" t="s">
        <v>2755</v>
      </c>
      <c r="C734" s="293" t="s">
        <v>87</v>
      </c>
      <c r="D734" s="778" t="s">
        <v>381</v>
      </c>
      <c r="E734" s="850">
        <v>4.2640000000000001E-4</v>
      </c>
      <c r="F734" s="825">
        <v>29711.8</v>
      </c>
      <c r="G734" s="312">
        <f>TRUNC(E734*F734,2)</f>
        <v>12.66</v>
      </c>
    </row>
    <row r="735" spans="1:10" ht="42.75" customHeight="1">
      <c r="A735" s="354"/>
      <c r="B735" s="345" t="s">
        <v>2753</v>
      </c>
      <c r="C735" s="293" t="s">
        <v>87</v>
      </c>
      <c r="D735" s="295" t="s">
        <v>391</v>
      </c>
      <c r="E735" s="850">
        <v>4.2640000000000001E-4</v>
      </c>
      <c r="F735" s="825">
        <v>5174</v>
      </c>
      <c r="G735" s="312">
        <f>TRUNC(E735*F735,2)</f>
        <v>2.2000000000000002</v>
      </c>
    </row>
    <row r="736" spans="1:10" ht="15" customHeight="1">
      <c r="A736" s="1185">
        <v>93282</v>
      </c>
      <c r="B736" s="1231" t="s">
        <v>1913</v>
      </c>
      <c r="C736" s="293" t="s">
        <v>104</v>
      </c>
      <c r="D736" s="1155" t="s">
        <v>1256</v>
      </c>
      <c r="E736" s="1165">
        <v>1.1999999999999999E-3</v>
      </c>
      <c r="F736" s="825">
        <f>'COMP AUX'!G1514</f>
        <v>10.4</v>
      </c>
      <c r="G736" s="852">
        <f t="shared" si="35"/>
        <v>0.01</v>
      </c>
    </row>
    <row r="737" spans="1:9" ht="15" customHeight="1">
      <c r="A737" s="1186"/>
      <c r="B737" s="1266"/>
      <c r="C737" s="293" t="s">
        <v>87</v>
      </c>
      <c r="D737" s="1156"/>
      <c r="E737" s="1166"/>
      <c r="F737" s="825">
        <f>'COMP AUX'!G1515</f>
        <v>4.28</v>
      </c>
      <c r="G737" s="851">
        <f>TRUNC(E736*F737,2)</f>
        <v>0</v>
      </c>
    </row>
    <row r="738" spans="1:9" ht="15" customHeight="1">
      <c r="F738" s="360" t="s">
        <v>90</v>
      </c>
      <c r="G738" s="322">
        <f>G725+G727+G736</f>
        <v>1.49</v>
      </c>
    </row>
    <row r="739" spans="1:9" ht="15" customHeight="1">
      <c r="F739" s="301" t="s">
        <v>92</v>
      </c>
      <c r="G739" s="312">
        <f>G726+G728+G729+G730+G731+G732+G733+G734+G735+G737</f>
        <v>174.04</v>
      </c>
    </row>
    <row r="740" spans="1:9" ht="15" customHeight="1">
      <c r="A740" s="122" t="s">
        <v>94</v>
      </c>
      <c r="F740" s="301" t="s">
        <v>93</v>
      </c>
      <c r="G740" s="820">
        <f>SUM(G738:G739)</f>
        <v>175.53</v>
      </c>
    </row>
    <row r="741" spans="1:9" ht="15" customHeight="1">
      <c r="A741" s="300" t="s">
        <v>95</v>
      </c>
      <c r="B741" s="385">
        <f>G740</f>
        <v>175.53</v>
      </c>
    </row>
    <row r="742" spans="1:9" ht="15" customHeight="1">
      <c r="A742" s="382" t="s">
        <v>2272</v>
      </c>
      <c r="B742" s="381"/>
    </row>
    <row r="743" spans="1:9" ht="15" customHeight="1">
      <c r="A743" s="443" t="s">
        <v>2311</v>
      </c>
      <c r="B743" s="381">
        <f>(B741+B742)*0.245</f>
        <v>43.004849999999998</v>
      </c>
    </row>
    <row r="744" spans="1:9" ht="15" customHeight="1">
      <c r="A744" s="300" t="s">
        <v>98</v>
      </c>
      <c r="B744" s="386">
        <f>SUM(B741:B743)</f>
        <v>218.53485000000001</v>
      </c>
      <c r="H744" s="394"/>
      <c r="I744" s="122" t="s">
        <v>2277</v>
      </c>
    </row>
    <row r="745" spans="1:9" ht="11.25" customHeight="1">
      <c r="A745" s="362"/>
      <c r="B745" s="363"/>
      <c r="C745" s="364"/>
      <c r="D745" s="362"/>
      <c r="E745" s="363"/>
      <c r="F745" s="363"/>
      <c r="G745" s="363"/>
      <c r="H745" s="362"/>
    </row>
    <row r="746" spans="1:9" ht="11.25" customHeight="1"/>
    <row r="747" spans="1:9" ht="11.25" customHeight="1">
      <c r="A747" s="826" t="s">
        <v>2709</v>
      </c>
    </row>
    <row r="748" spans="1:9" ht="13.5" customHeight="1">
      <c r="A748" s="148" t="s">
        <v>2539</v>
      </c>
    </row>
    <row r="749" spans="1:9" ht="24.75" customHeight="1">
      <c r="A749" s="352" t="s">
        <v>1450</v>
      </c>
      <c r="B749" s="352" t="s">
        <v>2531</v>
      </c>
      <c r="C749" s="608" t="s">
        <v>1487</v>
      </c>
      <c r="E749" s="352"/>
      <c r="F749" s="122"/>
      <c r="G749" s="353"/>
      <c r="I749" s="122" t="s">
        <v>2537</v>
      </c>
    </row>
    <row r="750" spans="1:9" ht="24" customHeight="1">
      <c r="A750" s="309" t="s">
        <v>30</v>
      </c>
      <c r="B750" s="354" t="s">
        <v>19</v>
      </c>
      <c r="C750" s="293" t="s">
        <v>81</v>
      </c>
      <c r="D750" s="294" t="s">
        <v>77</v>
      </c>
      <c r="E750" s="294" t="s">
        <v>82</v>
      </c>
      <c r="F750" s="295" t="s">
        <v>83</v>
      </c>
      <c r="G750" s="355" t="s">
        <v>84</v>
      </c>
    </row>
    <row r="751" spans="1:9" ht="14.1" customHeight="1">
      <c r="A751" s="1141" t="s">
        <v>1322</v>
      </c>
      <c r="B751" s="1129" t="s">
        <v>110</v>
      </c>
      <c r="C751" s="293" t="s">
        <v>104</v>
      </c>
      <c r="D751" s="1155" t="s">
        <v>383</v>
      </c>
      <c r="E751" s="1162">
        <v>0.1</v>
      </c>
      <c r="F751" s="825">
        <f>'COMP AUX'!G104</f>
        <v>11.18</v>
      </c>
      <c r="G751" s="358">
        <f>TRUNC(E751*F751,2)</f>
        <v>1.1100000000000001</v>
      </c>
    </row>
    <row r="752" spans="1:9" ht="14.1" customHeight="1">
      <c r="A752" s="1142"/>
      <c r="B752" s="1130"/>
      <c r="C752" s="293" t="s">
        <v>87</v>
      </c>
      <c r="D752" s="1156"/>
      <c r="E752" s="1163"/>
      <c r="F752" s="825">
        <f>'COMP AUX'!G105</f>
        <v>4.7300000000000004</v>
      </c>
      <c r="G752" s="312">
        <f>TRUNC(E751*F752,2)</f>
        <v>0.47</v>
      </c>
    </row>
    <row r="753" spans="1:13" ht="14.1" customHeight="1">
      <c r="A753" s="1159">
        <v>88309</v>
      </c>
      <c r="B753" s="1129" t="s">
        <v>118</v>
      </c>
      <c r="C753" s="293" t="s">
        <v>104</v>
      </c>
      <c r="D753" s="1155" t="s">
        <v>383</v>
      </c>
      <c r="E753" s="1162">
        <v>0.1</v>
      </c>
      <c r="F753" s="825">
        <f>'COMP AUX'!G151</f>
        <v>15.020000000000001</v>
      </c>
      <c r="G753" s="312">
        <f t="shared" ref="G753" si="36">TRUNC(E753*F753,2)</f>
        <v>1.5</v>
      </c>
    </row>
    <row r="754" spans="1:13" ht="14.1" customHeight="1">
      <c r="A754" s="1160"/>
      <c r="B754" s="1130"/>
      <c r="C754" s="293" t="s">
        <v>87</v>
      </c>
      <c r="D754" s="1156"/>
      <c r="E754" s="1163"/>
      <c r="F754" s="825">
        <f>'COMP AUX'!G152</f>
        <v>4.79</v>
      </c>
      <c r="G754" s="312">
        <f>TRUNC(E753*F754,2)</f>
        <v>0.47</v>
      </c>
    </row>
    <row r="755" spans="1:13" ht="24" customHeight="1">
      <c r="A755" s="565" t="s">
        <v>79</v>
      </c>
      <c r="B755" s="331" t="s">
        <v>2540</v>
      </c>
      <c r="C755" s="293" t="s">
        <v>87</v>
      </c>
      <c r="D755" s="541" t="s">
        <v>1452</v>
      </c>
      <c r="E755" s="540">
        <v>0.248</v>
      </c>
      <c r="F755" s="298">
        <v>180</v>
      </c>
      <c r="G755" s="312">
        <f t="shared" ref="G755:G757" si="37">TRUNC(E755*F755,2)</f>
        <v>44.64</v>
      </c>
      <c r="K755" s="122" t="s">
        <v>2532</v>
      </c>
    </row>
    <row r="756" spans="1:13" ht="39" customHeight="1">
      <c r="A756" s="565">
        <v>1607</v>
      </c>
      <c r="B756" s="331" t="s">
        <v>2536</v>
      </c>
      <c r="C756" s="293" t="s">
        <v>87</v>
      </c>
      <c r="D756" s="541" t="s">
        <v>1452</v>
      </c>
      <c r="E756" s="540">
        <v>1.42</v>
      </c>
      <c r="F756" s="825">
        <v>0.15</v>
      </c>
      <c r="G756" s="312">
        <f t="shared" si="37"/>
        <v>0.21</v>
      </c>
      <c r="K756" s="122" t="s">
        <v>2533</v>
      </c>
      <c r="L756" s="715">
        <v>180</v>
      </c>
      <c r="M756" s="122" t="s">
        <v>2534</v>
      </c>
    </row>
    <row r="757" spans="1:13" ht="26.25" customHeight="1">
      <c r="A757" s="354">
        <v>4300</v>
      </c>
      <c r="B757" s="345" t="s">
        <v>2535</v>
      </c>
      <c r="C757" s="293" t="s">
        <v>87</v>
      </c>
      <c r="D757" s="295" t="s">
        <v>1452</v>
      </c>
      <c r="E757" s="311">
        <v>1.42</v>
      </c>
      <c r="F757" s="825">
        <v>0.53</v>
      </c>
      <c r="G757" s="312">
        <f t="shared" si="37"/>
        <v>0.75</v>
      </c>
    </row>
    <row r="758" spans="1:13" ht="14.1" customHeight="1">
      <c r="F758" s="360" t="s">
        <v>90</v>
      </c>
      <c r="G758" s="322">
        <f>G751+G753</f>
        <v>2.6100000000000003</v>
      </c>
    </row>
    <row r="759" spans="1:13" ht="14.1" customHeight="1">
      <c r="F759" s="301" t="s">
        <v>92</v>
      </c>
      <c r="G759" s="312">
        <f>G752+G754+G757+G755+G756</f>
        <v>46.54</v>
      </c>
      <c r="L759" s="122">
        <f>0.9*3</f>
        <v>2.7</v>
      </c>
    </row>
    <row r="760" spans="1:13" ht="14.1" customHeight="1">
      <c r="A760" s="122" t="s">
        <v>94</v>
      </c>
      <c r="F760" s="301" t="s">
        <v>93</v>
      </c>
      <c r="G760" s="820">
        <f>SUM(G758:G759)</f>
        <v>49.15</v>
      </c>
      <c r="J760" s="122">
        <f>1/L760</f>
        <v>0.24838549428713358</v>
      </c>
      <c r="L760" s="122">
        <f>3.66*1.1</f>
        <v>4.0260000000000007</v>
      </c>
      <c r="M760" s="716">
        <f>L756/L760</f>
        <v>44.709388971684049</v>
      </c>
    </row>
    <row r="761" spans="1:13" ht="14.1" customHeight="1">
      <c r="A761" s="300" t="s">
        <v>95</v>
      </c>
      <c r="B761" s="385">
        <f>G760</f>
        <v>49.15</v>
      </c>
    </row>
    <row r="762" spans="1:13" ht="14.1" customHeight="1">
      <c r="A762" s="382" t="s">
        <v>2272</v>
      </c>
      <c r="B762" s="381"/>
    </row>
    <row r="763" spans="1:13" ht="14.1" customHeight="1">
      <c r="A763" s="443" t="s">
        <v>2311</v>
      </c>
      <c r="B763" s="381">
        <f>(B761+B762)*0.245</f>
        <v>12.041749999999999</v>
      </c>
    </row>
    <row r="764" spans="1:13" ht="14.1" customHeight="1">
      <c r="A764" s="300" t="s">
        <v>98</v>
      </c>
      <c r="B764" s="386">
        <f>SUM(B761:B763)</f>
        <v>61.191749999999999</v>
      </c>
      <c r="H764" s="394"/>
      <c r="I764" s="122" t="s">
        <v>2277</v>
      </c>
    </row>
    <row r="765" spans="1:13" ht="11.25" customHeight="1">
      <c r="A765" s="362"/>
      <c r="B765" s="363"/>
      <c r="C765" s="364"/>
      <c r="D765" s="362"/>
      <c r="E765" s="363"/>
      <c r="F765" s="363"/>
      <c r="G765" s="363"/>
      <c r="H765" s="362"/>
    </row>
    <row r="766" spans="1:13" ht="11.25" customHeight="1"/>
    <row r="767" spans="1:13" ht="11.25" customHeight="1">
      <c r="A767" s="826" t="s">
        <v>2709</v>
      </c>
    </row>
    <row r="768" spans="1:13" ht="11.25" customHeight="1">
      <c r="A768" s="148" t="s">
        <v>2542</v>
      </c>
      <c r="I768" s="122">
        <v>407742</v>
      </c>
      <c r="J768" s="122" t="s">
        <v>2544</v>
      </c>
    </row>
    <row r="769" spans="1:9" ht="18.75" customHeight="1">
      <c r="A769" s="352" t="s">
        <v>1450</v>
      </c>
      <c r="B769" s="352" t="s">
        <v>2528</v>
      </c>
      <c r="C769" s="494" t="s">
        <v>391</v>
      </c>
      <c r="E769" s="352"/>
      <c r="F769" s="122"/>
      <c r="G769" s="353"/>
    </row>
    <row r="770" spans="1:9" ht="24" customHeight="1">
      <c r="A770" s="309" t="s">
        <v>30</v>
      </c>
      <c r="B770" s="354" t="s">
        <v>19</v>
      </c>
      <c r="C770" s="293" t="s">
        <v>81</v>
      </c>
      <c r="D770" s="294" t="s">
        <v>77</v>
      </c>
      <c r="E770" s="294" t="s">
        <v>82</v>
      </c>
      <c r="F770" s="295" t="s">
        <v>83</v>
      </c>
      <c r="G770" s="355" t="s">
        <v>84</v>
      </c>
    </row>
    <row r="771" spans="1:9" ht="14.1" customHeight="1">
      <c r="A771" s="1141">
        <v>88241</v>
      </c>
      <c r="B771" s="1129" t="s">
        <v>2331</v>
      </c>
      <c r="C771" s="293" t="s">
        <v>104</v>
      </c>
      <c r="D771" s="1155" t="s">
        <v>383</v>
      </c>
      <c r="E771" s="1165">
        <v>9.4200000000000006E-2</v>
      </c>
      <c r="F771" s="825">
        <f>'COMP AUX'!G53</f>
        <v>10.76</v>
      </c>
      <c r="G771" s="358">
        <f>TRUNC(E771*F771,2)</f>
        <v>1.01</v>
      </c>
    </row>
    <row r="772" spans="1:9" ht="14.1" customHeight="1">
      <c r="A772" s="1142"/>
      <c r="B772" s="1130"/>
      <c r="C772" s="293" t="s">
        <v>87</v>
      </c>
      <c r="D772" s="1156"/>
      <c r="E772" s="1166"/>
      <c r="F772" s="825">
        <f>'COMP AUX'!G54</f>
        <v>4.79</v>
      </c>
      <c r="G772" s="312">
        <f>TRUNC(E771*F772,2)</f>
        <v>0.45</v>
      </c>
    </row>
    <row r="773" spans="1:9" ht="14.1" customHeight="1">
      <c r="A773" s="1159">
        <v>88262</v>
      </c>
      <c r="B773" s="1129" t="s">
        <v>1751</v>
      </c>
      <c r="C773" s="293" t="s">
        <v>104</v>
      </c>
      <c r="D773" s="1155" t="s">
        <v>383</v>
      </c>
      <c r="E773" s="1165">
        <v>9.4200000000000006E-2</v>
      </c>
      <c r="F773" s="825">
        <f>'COMP AUX'!G87</f>
        <v>14.92</v>
      </c>
      <c r="G773" s="312">
        <f t="shared" ref="G773" si="38">TRUNC(E773*F773,2)</f>
        <v>1.4</v>
      </c>
    </row>
    <row r="774" spans="1:9" ht="14.1" customHeight="1">
      <c r="A774" s="1160"/>
      <c r="B774" s="1130"/>
      <c r="C774" s="293" t="s">
        <v>87</v>
      </c>
      <c r="D774" s="1156"/>
      <c r="E774" s="1166"/>
      <c r="F774" s="825">
        <f>'COMP AUX'!G88</f>
        <v>4.75</v>
      </c>
      <c r="G774" s="312">
        <f>TRUNC(E773*F774,2)</f>
        <v>0.44</v>
      </c>
    </row>
    <row r="775" spans="1:9" ht="16.5" customHeight="1">
      <c r="A775" s="565">
        <v>5061</v>
      </c>
      <c r="B775" s="331" t="s">
        <v>2688</v>
      </c>
      <c r="C775" s="293" t="s">
        <v>87</v>
      </c>
      <c r="D775" s="541" t="s">
        <v>1319</v>
      </c>
      <c r="E775" s="595">
        <v>9.4000000000000004E-3</v>
      </c>
      <c r="F775" s="825">
        <v>10.99</v>
      </c>
      <c r="G775" s="312">
        <f t="shared" ref="G775:G776" si="39">TRUNC(E775*F775,2)</f>
        <v>0.1</v>
      </c>
    </row>
    <row r="776" spans="1:9" ht="15" customHeight="1">
      <c r="A776" s="565" t="s">
        <v>79</v>
      </c>
      <c r="B776" s="331" t="s">
        <v>3270</v>
      </c>
      <c r="C776" s="293" t="s">
        <v>87</v>
      </c>
      <c r="D776" s="541" t="s">
        <v>391</v>
      </c>
      <c r="E776" s="540">
        <v>1.05</v>
      </c>
      <c r="F776" s="298">
        <v>2.08</v>
      </c>
      <c r="G776" s="312">
        <f t="shared" si="39"/>
        <v>2.1800000000000002</v>
      </c>
    </row>
    <row r="777" spans="1:9" ht="14.1" customHeight="1">
      <c r="F777" s="717" t="s">
        <v>90</v>
      </c>
      <c r="G777" s="322">
        <f>G771+G773</f>
        <v>2.41</v>
      </c>
    </row>
    <row r="778" spans="1:9" ht="14.1" customHeight="1">
      <c r="F778" s="718" t="s">
        <v>92</v>
      </c>
      <c r="G778" s="312">
        <f>G772+G774+G775+G776</f>
        <v>3.17</v>
      </c>
    </row>
    <row r="779" spans="1:9" ht="14.1" customHeight="1">
      <c r="A779" s="122" t="s">
        <v>94</v>
      </c>
      <c r="F779" s="718" t="s">
        <v>93</v>
      </c>
      <c r="G779" s="313">
        <f>SUM(G777:G778)</f>
        <v>5.58</v>
      </c>
    </row>
    <row r="780" spans="1:9" ht="14.1" customHeight="1">
      <c r="A780" s="300" t="s">
        <v>95</v>
      </c>
      <c r="B780" s="385">
        <f>G779</f>
        <v>5.58</v>
      </c>
      <c r="F780" s="719"/>
    </row>
    <row r="781" spans="1:9" ht="14.1" customHeight="1">
      <c r="A781" s="382" t="s">
        <v>2272</v>
      </c>
      <c r="B781" s="381"/>
      <c r="F781" s="719"/>
    </row>
    <row r="782" spans="1:9" ht="14.1" customHeight="1">
      <c r="A782" s="443" t="s">
        <v>2311</v>
      </c>
      <c r="B782" s="381">
        <f>(B780+B781)*0.245</f>
        <v>1.3671</v>
      </c>
      <c r="F782" s="719"/>
    </row>
    <row r="783" spans="1:9" ht="14.1" customHeight="1">
      <c r="A783" s="300" t="s">
        <v>98</v>
      </c>
      <c r="B783" s="386">
        <f>SUM(B780:B782)</f>
        <v>6.9470999999999998</v>
      </c>
      <c r="F783" s="719"/>
      <c r="H783" s="394"/>
      <c r="I783" s="122" t="s">
        <v>2277</v>
      </c>
    </row>
    <row r="784" spans="1:9" ht="11.25" customHeight="1">
      <c r="A784" s="362"/>
      <c r="B784" s="363"/>
      <c r="C784" s="364"/>
      <c r="D784" s="362"/>
      <c r="E784" s="363"/>
      <c r="F784" s="363"/>
      <c r="G784" s="363"/>
      <c r="H784" s="362"/>
    </row>
    <row r="785" spans="1:7" ht="11.25" customHeight="1"/>
    <row r="786" spans="1:7" ht="11.25" customHeight="1">
      <c r="A786" s="122" t="s">
        <v>1194</v>
      </c>
    </row>
    <row r="787" spans="1:7" ht="11.25" customHeight="1">
      <c r="A787" s="148" t="s">
        <v>1904</v>
      </c>
    </row>
    <row r="788" spans="1:7" ht="19.5" customHeight="1">
      <c r="A788" s="352" t="s">
        <v>1450</v>
      </c>
      <c r="B788" s="352" t="s">
        <v>1909</v>
      </c>
      <c r="C788" s="290" t="s">
        <v>1487</v>
      </c>
      <c r="E788" s="352"/>
      <c r="F788" s="122"/>
      <c r="G788" s="353"/>
    </row>
    <row r="789" spans="1:7" ht="24.75" customHeight="1">
      <c r="A789" s="309" t="s">
        <v>30</v>
      </c>
      <c r="B789" s="354" t="s">
        <v>19</v>
      </c>
      <c r="C789" s="293" t="s">
        <v>81</v>
      </c>
      <c r="D789" s="294" t="s">
        <v>77</v>
      </c>
      <c r="E789" s="294" t="s">
        <v>82</v>
      </c>
      <c r="F789" s="295" t="s">
        <v>83</v>
      </c>
      <c r="G789" s="355" t="s">
        <v>84</v>
      </c>
    </row>
    <row r="790" spans="1:7" ht="15" customHeight="1">
      <c r="A790" s="1141" t="s">
        <v>1322</v>
      </c>
      <c r="B790" s="1129" t="s">
        <v>110</v>
      </c>
      <c r="C790" s="293" t="s">
        <v>104</v>
      </c>
      <c r="D790" s="1155" t="s">
        <v>383</v>
      </c>
      <c r="E790" s="1162">
        <v>0.1</v>
      </c>
      <c r="F790" s="298">
        <f>'COMP AUX'!G104</f>
        <v>11.18</v>
      </c>
      <c r="G790" s="358">
        <f>TRUNC(E790*F790,2)</f>
        <v>1.1100000000000001</v>
      </c>
    </row>
    <row r="791" spans="1:7" ht="15" customHeight="1">
      <c r="A791" s="1142"/>
      <c r="B791" s="1130"/>
      <c r="C791" s="293" t="s">
        <v>87</v>
      </c>
      <c r="D791" s="1156"/>
      <c r="E791" s="1163"/>
      <c r="F791" s="298">
        <f>'COMP AUX'!G105</f>
        <v>4.7300000000000004</v>
      </c>
      <c r="G791" s="312">
        <f>TRUNC(E790*F791,2)</f>
        <v>0.47</v>
      </c>
    </row>
    <row r="792" spans="1:7" ht="15" customHeight="1">
      <c r="A792" s="1159">
        <v>88262</v>
      </c>
      <c r="B792" s="1129" t="s">
        <v>1751</v>
      </c>
      <c r="C792" s="293" t="s">
        <v>104</v>
      </c>
      <c r="D792" s="1155" t="s">
        <v>383</v>
      </c>
      <c r="E792" s="1162">
        <v>0.1</v>
      </c>
      <c r="F792" s="298">
        <f>'COMP AUX'!G87</f>
        <v>14.92</v>
      </c>
      <c r="G792" s="312">
        <f t="shared" ref="G792" si="40">TRUNC(E792*F792,2)</f>
        <v>1.49</v>
      </c>
    </row>
    <row r="793" spans="1:7" ht="15" customHeight="1">
      <c r="A793" s="1160"/>
      <c r="B793" s="1130"/>
      <c r="C793" s="293" t="s">
        <v>87</v>
      </c>
      <c r="D793" s="1156"/>
      <c r="E793" s="1163"/>
      <c r="F793" s="298">
        <f>'COMP AUX'!G88</f>
        <v>4.75</v>
      </c>
      <c r="G793" s="312">
        <f>TRUNC(E792*F793,2)</f>
        <v>0.47</v>
      </c>
    </row>
    <row r="794" spans="1:7" ht="15" customHeight="1">
      <c r="A794" s="493" t="s">
        <v>79</v>
      </c>
      <c r="B794" s="345" t="s">
        <v>3268</v>
      </c>
      <c r="C794" s="293" t="s">
        <v>87</v>
      </c>
      <c r="D794" s="295" t="s">
        <v>121</v>
      </c>
      <c r="E794" s="311">
        <v>1</v>
      </c>
      <c r="F794" s="1038">
        <v>14.37</v>
      </c>
      <c r="G794" s="312">
        <f t="shared" ref="G794" si="41">TRUNC(E794*F794,2)</f>
        <v>14.37</v>
      </c>
    </row>
    <row r="795" spans="1:7" ht="15" customHeight="1">
      <c r="F795" s="360" t="s">
        <v>90</v>
      </c>
      <c r="G795" s="322">
        <f>G790+G793</f>
        <v>1.58</v>
      </c>
    </row>
    <row r="796" spans="1:7" ht="15" customHeight="1">
      <c r="F796" s="301" t="s">
        <v>92</v>
      </c>
      <c r="G796" s="312">
        <f>G791+G793+G794</f>
        <v>15.309999999999999</v>
      </c>
    </row>
    <row r="797" spans="1:7" ht="15" customHeight="1">
      <c r="A797" s="122" t="s">
        <v>94</v>
      </c>
      <c r="F797" s="301" t="s">
        <v>93</v>
      </c>
      <c r="G797" s="313">
        <f>SUM(G795:G796)</f>
        <v>16.89</v>
      </c>
    </row>
    <row r="798" spans="1:7" ht="15" customHeight="1">
      <c r="A798" s="300" t="s">
        <v>95</v>
      </c>
      <c r="B798" s="385">
        <f>G797</f>
        <v>16.89</v>
      </c>
    </row>
    <row r="799" spans="1:7" ht="15" customHeight="1">
      <c r="A799" s="382" t="s">
        <v>2272</v>
      </c>
      <c r="B799" s="381"/>
    </row>
    <row r="800" spans="1:7" ht="15" customHeight="1">
      <c r="A800" s="443" t="s">
        <v>2311</v>
      </c>
      <c r="B800" s="381">
        <f>(B798+B799)*0.245</f>
        <v>4.1380499999999998</v>
      </c>
    </row>
    <row r="801" spans="1:13" ht="15" customHeight="1">
      <c r="A801" s="300" t="s">
        <v>98</v>
      </c>
      <c r="B801" s="386">
        <f>SUM(B798:B800)</f>
        <v>21.02805</v>
      </c>
      <c r="H801" s="394"/>
      <c r="I801" s="122" t="s">
        <v>2277</v>
      </c>
    </row>
    <row r="802" spans="1:13" ht="11.25" customHeight="1">
      <c r="A802" s="362"/>
      <c r="B802" s="363"/>
      <c r="C802" s="364"/>
      <c r="D802" s="362"/>
      <c r="E802" s="363"/>
      <c r="F802" s="363"/>
      <c r="G802" s="363"/>
      <c r="H802" s="362"/>
    </row>
    <row r="803" spans="1:13" ht="11.25" customHeight="1"/>
    <row r="804" spans="1:13" ht="11.25" customHeight="1">
      <c r="A804" s="122" t="s">
        <v>1194</v>
      </c>
    </row>
    <row r="805" spans="1:13" ht="11.25" customHeight="1">
      <c r="A805" s="148" t="s">
        <v>1907</v>
      </c>
    </row>
    <row r="806" spans="1:13" ht="16.5" customHeight="1">
      <c r="A806" s="352" t="s">
        <v>1450</v>
      </c>
      <c r="B806" s="352" t="s">
        <v>1902</v>
      </c>
      <c r="C806" s="290" t="s">
        <v>391</v>
      </c>
      <c r="E806" s="352"/>
      <c r="F806" s="122"/>
      <c r="G806" s="353"/>
    </row>
    <row r="807" spans="1:13" ht="25.5" customHeight="1">
      <c r="A807" s="309" t="s">
        <v>30</v>
      </c>
      <c r="B807" s="354" t="s">
        <v>19</v>
      </c>
      <c r="C807" s="293" t="s">
        <v>81</v>
      </c>
      <c r="D807" s="294" t="s">
        <v>77</v>
      </c>
      <c r="E807" s="294" t="s">
        <v>82</v>
      </c>
      <c r="F807" s="295" t="s">
        <v>83</v>
      </c>
      <c r="G807" s="355" t="s">
        <v>84</v>
      </c>
    </row>
    <row r="808" spans="1:13" ht="15" customHeight="1">
      <c r="A808" s="1141">
        <v>88316</v>
      </c>
      <c r="B808" s="1129" t="s">
        <v>110</v>
      </c>
      <c r="C808" s="293" t="s">
        <v>104</v>
      </c>
      <c r="D808" s="1155" t="s">
        <v>383</v>
      </c>
      <c r="E808" s="1162">
        <v>0.14000000000000001</v>
      </c>
      <c r="F808" s="825">
        <f>'COMP AUX'!G104</f>
        <v>11.18</v>
      </c>
      <c r="G808" s="358">
        <f>TRUNC(E808*F808,2)</f>
        <v>1.56</v>
      </c>
    </row>
    <row r="809" spans="1:13" ht="15" customHeight="1">
      <c r="A809" s="1142"/>
      <c r="B809" s="1130"/>
      <c r="C809" s="293" t="s">
        <v>87</v>
      </c>
      <c r="D809" s="1156"/>
      <c r="E809" s="1163"/>
      <c r="F809" s="825">
        <f>'COMP AUX'!G105</f>
        <v>4.7300000000000004</v>
      </c>
      <c r="G809" s="312">
        <f>TRUNC(E808*F809,2)</f>
        <v>0.66</v>
      </c>
    </row>
    <row r="810" spans="1:13" ht="15" customHeight="1">
      <c r="A810" s="1159">
        <v>88315</v>
      </c>
      <c r="B810" s="1129" t="s">
        <v>1701</v>
      </c>
      <c r="C810" s="293" t="s">
        <v>104</v>
      </c>
      <c r="D810" s="1155" t="s">
        <v>383</v>
      </c>
      <c r="E810" s="1162">
        <v>0.14000000000000001</v>
      </c>
      <c r="F810" s="825">
        <f>'COMP AUX'!G440</f>
        <v>14.99</v>
      </c>
      <c r="G810" s="312">
        <f t="shared" ref="G810" si="42">TRUNC(E810*F810,2)</f>
        <v>2.09</v>
      </c>
      <c r="L810" s="122" t="s">
        <v>2410</v>
      </c>
      <c r="M810" s="289"/>
    </row>
    <row r="811" spans="1:13" ht="15" customHeight="1">
      <c r="A811" s="1160"/>
      <c r="B811" s="1130"/>
      <c r="C811" s="293" t="s">
        <v>87</v>
      </c>
      <c r="D811" s="1156"/>
      <c r="E811" s="1163"/>
      <c r="F811" s="825">
        <f>'COMP AUX'!G441</f>
        <v>4.79</v>
      </c>
      <c r="G811" s="312">
        <f>TRUNC(E810*F811,2)</f>
        <v>0.67</v>
      </c>
      <c r="L811" s="289" t="s">
        <v>2404</v>
      </c>
      <c r="M811" s="289"/>
    </row>
    <row r="812" spans="1:13" ht="15" customHeight="1">
      <c r="A812" s="493" t="s">
        <v>79</v>
      </c>
      <c r="B812" s="345" t="s">
        <v>1903</v>
      </c>
      <c r="C812" s="293" t="s">
        <v>87</v>
      </c>
      <c r="D812" s="295" t="s">
        <v>391</v>
      </c>
      <c r="E812" s="311">
        <v>1.05</v>
      </c>
      <c r="F812" s="298">
        <f>(1.35+1.4+1.6)/3</f>
        <v>1.45</v>
      </c>
      <c r="G812" s="312">
        <f t="shared" ref="G812" si="43">TRUNC(E812*F812,2)</f>
        <v>1.52</v>
      </c>
      <c r="J812" s="289" t="s">
        <v>2402</v>
      </c>
      <c r="K812" s="644" t="s">
        <v>2403</v>
      </c>
      <c r="L812" s="289">
        <v>1.35</v>
      </c>
    </row>
    <row r="813" spans="1:13" ht="15" customHeight="1">
      <c r="F813" s="360" t="s">
        <v>90</v>
      </c>
      <c r="G813" s="322">
        <f>G808+G810</f>
        <v>3.65</v>
      </c>
      <c r="J813" s="571" t="s">
        <v>2405</v>
      </c>
      <c r="K813" s="644" t="s">
        <v>2406</v>
      </c>
      <c r="L813" s="645">
        <v>1.4</v>
      </c>
    </row>
    <row r="814" spans="1:13" ht="15" customHeight="1">
      <c r="F814" s="301" t="s">
        <v>92</v>
      </c>
      <c r="G814" s="312">
        <f>G809+G811+G812</f>
        <v>2.85</v>
      </c>
      <c r="J814" s="122" t="s">
        <v>2408</v>
      </c>
      <c r="K814" s="644" t="s">
        <v>2407</v>
      </c>
      <c r="L814" s="645">
        <v>1.6</v>
      </c>
    </row>
    <row r="815" spans="1:13" ht="15" customHeight="1">
      <c r="A815" s="122" t="s">
        <v>94</v>
      </c>
      <c r="F815" s="301" t="s">
        <v>93</v>
      </c>
      <c r="G815" s="820">
        <f>SUM(G813:G814)</f>
        <v>6.5</v>
      </c>
    </row>
    <row r="816" spans="1:13" ht="15" customHeight="1">
      <c r="A816" s="300" t="s">
        <v>95</v>
      </c>
      <c r="B816" s="385">
        <f>G815</f>
        <v>6.5</v>
      </c>
    </row>
    <row r="817" spans="1:12" ht="15" customHeight="1">
      <c r="A817" s="382" t="s">
        <v>2272</v>
      </c>
      <c r="B817" s="381"/>
    </row>
    <row r="818" spans="1:12" ht="15" customHeight="1">
      <c r="A818" s="443" t="s">
        <v>2311</v>
      </c>
      <c r="B818" s="381">
        <f>(B816+B817)*0.245</f>
        <v>1.5925</v>
      </c>
    </row>
    <row r="819" spans="1:12" ht="15" customHeight="1">
      <c r="A819" s="300" t="s">
        <v>98</v>
      </c>
      <c r="B819" s="386">
        <f>SUM(B816:B818)</f>
        <v>8.0924999999999994</v>
      </c>
      <c r="H819" s="394"/>
      <c r="I819" s="122" t="s">
        <v>2277</v>
      </c>
    </row>
    <row r="820" spans="1:12" ht="11.25" customHeight="1">
      <c r="A820" s="362"/>
      <c r="B820" s="363"/>
      <c r="C820" s="364"/>
      <c r="D820" s="362"/>
      <c r="E820" s="363"/>
      <c r="F820" s="363"/>
      <c r="G820" s="363"/>
      <c r="H820" s="362"/>
    </row>
    <row r="821" spans="1:12" ht="11.25" customHeight="1"/>
    <row r="822" spans="1:12" ht="11.25" customHeight="1">
      <c r="A822" s="122" t="s">
        <v>2709</v>
      </c>
    </row>
    <row r="823" spans="1:12" ht="11.25" customHeight="1">
      <c r="A823" s="148" t="s">
        <v>2385</v>
      </c>
    </row>
    <row r="824" spans="1:12" ht="18" customHeight="1">
      <c r="A824" s="352" t="s">
        <v>1450</v>
      </c>
      <c r="B824" s="352" t="s">
        <v>1905</v>
      </c>
      <c r="C824" s="290" t="s">
        <v>1452</v>
      </c>
      <c r="E824" s="352"/>
      <c r="F824" s="122"/>
      <c r="G824" s="353"/>
    </row>
    <row r="825" spans="1:12" ht="29.25" customHeight="1">
      <c r="A825" s="309" t="s">
        <v>30</v>
      </c>
      <c r="B825" s="354" t="s">
        <v>19</v>
      </c>
      <c r="C825" s="293" t="s">
        <v>81</v>
      </c>
      <c r="D825" s="294" t="s">
        <v>77</v>
      </c>
      <c r="E825" s="294" t="s">
        <v>82</v>
      </c>
      <c r="F825" s="295" t="s">
        <v>83</v>
      </c>
      <c r="G825" s="355" t="s">
        <v>84</v>
      </c>
    </row>
    <row r="826" spans="1:12" ht="15" customHeight="1">
      <c r="A826" s="1141" t="s">
        <v>1322</v>
      </c>
      <c r="B826" s="1129" t="s">
        <v>110</v>
      </c>
      <c r="C826" s="293" t="s">
        <v>104</v>
      </c>
      <c r="D826" s="1155" t="s">
        <v>383</v>
      </c>
      <c r="E826" s="1162">
        <v>0.46</v>
      </c>
      <c r="F826" s="825">
        <f>'COMP AUX'!G104</f>
        <v>11.18</v>
      </c>
      <c r="G826" s="358">
        <f>TRUNC(E826*F826,2)</f>
        <v>5.14</v>
      </c>
    </row>
    <row r="827" spans="1:12" ht="15" customHeight="1">
      <c r="A827" s="1142"/>
      <c r="B827" s="1130"/>
      <c r="C827" s="293" t="s">
        <v>87</v>
      </c>
      <c r="D827" s="1156"/>
      <c r="E827" s="1163"/>
      <c r="F827" s="825">
        <f>'COMP AUX'!G105</f>
        <v>4.7300000000000004</v>
      </c>
      <c r="G827" s="312">
        <f>TRUNC(E826*F827,2)</f>
        <v>2.17</v>
      </c>
    </row>
    <row r="828" spans="1:12" ht="15" customHeight="1">
      <c r="A828" s="1159">
        <v>88315</v>
      </c>
      <c r="B828" s="1129" t="s">
        <v>1701</v>
      </c>
      <c r="C828" s="293" t="s">
        <v>104</v>
      </c>
      <c r="D828" s="1155" t="s">
        <v>383</v>
      </c>
      <c r="E828" s="1162">
        <v>0.46</v>
      </c>
      <c r="F828" s="825">
        <f>'COMP AUX'!G440</f>
        <v>14.99</v>
      </c>
      <c r="G828" s="312">
        <f t="shared" ref="G828" si="44">TRUNC(E828*F828,2)</f>
        <v>6.89</v>
      </c>
    </row>
    <row r="829" spans="1:12" ht="15" customHeight="1">
      <c r="A829" s="1160"/>
      <c r="B829" s="1130"/>
      <c r="C829" s="293" t="s">
        <v>87</v>
      </c>
      <c r="D829" s="1156"/>
      <c r="E829" s="1163"/>
      <c r="F829" s="825">
        <f>'COMP AUX'!G441</f>
        <v>4.79</v>
      </c>
      <c r="G829" s="312">
        <f>TRUNC(E828*F829,2)</f>
        <v>2.2000000000000002</v>
      </c>
      <c r="L829" s="122" t="s">
        <v>2412</v>
      </c>
    </row>
    <row r="830" spans="1:12" ht="15" customHeight="1">
      <c r="A830" s="493" t="s">
        <v>79</v>
      </c>
      <c r="B830" s="345" t="s">
        <v>2409</v>
      </c>
      <c r="C830" s="293" t="s">
        <v>87</v>
      </c>
      <c r="D830" s="295" t="s">
        <v>1452</v>
      </c>
      <c r="E830" s="311">
        <v>1</v>
      </c>
      <c r="F830" s="298">
        <f>(3.8+3.3+5.2)/3</f>
        <v>4.1000000000000005</v>
      </c>
      <c r="G830" s="312">
        <f t="shared" ref="G830" si="45">TRUNC(E830*F830,2)</f>
        <v>4.0999999999999996</v>
      </c>
      <c r="L830" s="122" t="s">
        <v>2411</v>
      </c>
    </row>
    <row r="831" spans="1:12" ht="15" customHeight="1">
      <c r="F831" s="360" t="s">
        <v>90</v>
      </c>
      <c r="G831" s="322">
        <f>G826+G828</f>
        <v>12.03</v>
      </c>
      <c r="L831" s="289" t="s">
        <v>2404</v>
      </c>
    </row>
    <row r="832" spans="1:12" ht="15" customHeight="1">
      <c r="F832" s="301" t="s">
        <v>92</v>
      </c>
      <c r="G832" s="312">
        <f>G827+G829+G830</f>
        <v>8.4699999999999989</v>
      </c>
      <c r="J832" s="289" t="s">
        <v>2402</v>
      </c>
      <c r="K832" s="644" t="s">
        <v>2403</v>
      </c>
      <c r="L832" s="645">
        <v>3.8</v>
      </c>
    </row>
    <row r="833" spans="1:12" ht="15" customHeight="1">
      <c r="A833" s="122" t="s">
        <v>94</v>
      </c>
      <c r="F833" s="301" t="s">
        <v>93</v>
      </c>
      <c r="G833" s="820">
        <f>SUM(G831:G832)</f>
        <v>20.5</v>
      </c>
      <c r="J833" s="571" t="s">
        <v>2405</v>
      </c>
      <c r="K833" s="644" t="s">
        <v>2406</v>
      </c>
      <c r="L833" s="645">
        <v>3.3</v>
      </c>
    </row>
    <row r="834" spans="1:12" ht="15" customHeight="1">
      <c r="A834" s="300" t="s">
        <v>95</v>
      </c>
      <c r="B834" s="385">
        <f>G833</f>
        <v>20.5</v>
      </c>
      <c r="J834" s="122" t="s">
        <v>2408</v>
      </c>
      <c r="K834" s="644" t="s">
        <v>2407</v>
      </c>
      <c r="L834" s="645">
        <v>5.2</v>
      </c>
    </row>
    <row r="835" spans="1:12" ht="15" customHeight="1">
      <c r="A835" s="382" t="s">
        <v>2272</v>
      </c>
      <c r="B835" s="381"/>
    </row>
    <row r="836" spans="1:12" ht="15" customHeight="1">
      <c r="A836" s="443" t="s">
        <v>2311</v>
      </c>
      <c r="B836" s="381">
        <f>(B834+B835)*0.245</f>
        <v>5.0225</v>
      </c>
    </row>
    <row r="837" spans="1:12" ht="15" customHeight="1">
      <c r="A837" s="300" t="s">
        <v>98</v>
      </c>
      <c r="B837" s="386">
        <f>SUM(B834:B836)</f>
        <v>25.522500000000001</v>
      </c>
      <c r="H837" s="394"/>
      <c r="I837" s="122" t="s">
        <v>2277</v>
      </c>
    </row>
    <row r="838" spans="1:12" ht="11.25" customHeight="1">
      <c r="A838" s="362"/>
      <c r="B838" s="363"/>
      <c r="C838" s="364"/>
      <c r="D838" s="362"/>
      <c r="E838" s="363"/>
      <c r="F838" s="363"/>
      <c r="G838" s="363"/>
      <c r="H838" s="362"/>
    </row>
    <row r="839" spans="1:12" ht="11.25" customHeight="1">
      <c r="A839" s="362"/>
      <c r="B839" s="363"/>
      <c r="C839" s="364"/>
      <c r="D839" s="362"/>
      <c r="E839" s="363"/>
      <c r="F839" s="363"/>
      <c r="G839" s="363"/>
      <c r="H839" s="362"/>
    </row>
    <row r="840" spans="1:12" ht="11.25" customHeight="1"/>
    <row r="841" spans="1:12" ht="11.25" customHeight="1">
      <c r="A841" s="122" t="s">
        <v>2709</v>
      </c>
    </row>
    <row r="842" spans="1:12" ht="11.25" customHeight="1">
      <c r="A842" s="879" t="s">
        <v>2856</v>
      </c>
    </row>
    <row r="843" spans="1:12" ht="18" customHeight="1">
      <c r="A843" s="352" t="s">
        <v>1450</v>
      </c>
      <c r="B843" s="352" t="s">
        <v>1905</v>
      </c>
      <c r="C843" s="905" t="s">
        <v>1452</v>
      </c>
      <c r="E843" s="352"/>
      <c r="F843" s="122"/>
      <c r="G843" s="353"/>
    </row>
    <row r="844" spans="1:12" ht="29.25" customHeight="1">
      <c r="A844" s="897" t="s">
        <v>30</v>
      </c>
      <c r="B844" s="354" t="s">
        <v>19</v>
      </c>
      <c r="C844" s="293" t="s">
        <v>81</v>
      </c>
      <c r="D844" s="892" t="s">
        <v>77</v>
      </c>
      <c r="E844" s="892" t="s">
        <v>82</v>
      </c>
      <c r="F844" s="890" t="s">
        <v>83</v>
      </c>
      <c r="G844" s="355" t="s">
        <v>84</v>
      </c>
    </row>
    <row r="845" spans="1:12" ht="15" customHeight="1">
      <c r="A845" s="1141">
        <v>88278</v>
      </c>
      <c r="B845" s="1129" t="s">
        <v>858</v>
      </c>
      <c r="C845" s="293" t="s">
        <v>104</v>
      </c>
      <c r="D845" s="1155" t="s">
        <v>383</v>
      </c>
      <c r="E845" s="1162">
        <v>0.2</v>
      </c>
      <c r="F845" s="825">
        <f>'COMP AUX'!G770</f>
        <v>10.49</v>
      </c>
      <c r="G845" s="358">
        <f>TRUNC(E845*F845,2)</f>
        <v>2.09</v>
      </c>
    </row>
    <row r="846" spans="1:12" ht="15" customHeight="1">
      <c r="A846" s="1142"/>
      <c r="B846" s="1130"/>
      <c r="C846" s="293" t="s">
        <v>87</v>
      </c>
      <c r="D846" s="1156"/>
      <c r="E846" s="1163"/>
      <c r="F846" s="825">
        <f>'COMP AUX'!G771</f>
        <v>4.75</v>
      </c>
      <c r="G846" s="312">
        <f>TRUNC(E845*F846,2)</f>
        <v>0.95</v>
      </c>
    </row>
    <row r="847" spans="1:12" ht="15" customHeight="1">
      <c r="A847" s="1159">
        <v>88315</v>
      </c>
      <c r="B847" s="1129" t="s">
        <v>1701</v>
      </c>
      <c r="C847" s="293" t="s">
        <v>104</v>
      </c>
      <c r="D847" s="1155" t="s">
        <v>383</v>
      </c>
      <c r="E847" s="1162">
        <v>0.2</v>
      </c>
      <c r="F847" s="825">
        <f>'COMP AUX'!G70</f>
        <v>11.11</v>
      </c>
      <c r="G847" s="312">
        <f>TRUNC(E847*F847,2)</f>
        <v>2.2200000000000002</v>
      </c>
    </row>
    <row r="848" spans="1:12" ht="15" customHeight="1">
      <c r="A848" s="1160"/>
      <c r="B848" s="1130"/>
      <c r="C848" s="293" t="s">
        <v>87</v>
      </c>
      <c r="D848" s="1156"/>
      <c r="E848" s="1163"/>
      <c r="F848" s="825">
        <f>'COMP AUX'!G71</f>
        <v>4.79</v>
      </c>
      <c r="G848" s="312">
        <f>TRUNC(E847*F848,2)</f>
        <v>0.95</v>
      </c>
      <c r="L848" s="122" t="s">
        <v>2412</v>
      </c>
    </row>
    <row r="849" spans="1:12" ht="25.5" customHeight="1">
      <c r="A849" s="886"/>
      <c r="B849" s="895" t="s">
        <v>2857</v>
      </c>
      <c r="C849" s="293" t="s">
        <v>87</v>
      </c>
      <c r="D849" s="890" t="s">
        <v>1452</v>
      </c>
      <c r="E849" s="896">
        <v>1</v>
      </c>
      <c r="F849" s="825">
        <v>168.49</v>
      </c>
      <c r="G849" s="312">
        <f>TRUNC(E849*F849,2)</f>
        <v>168.49</v>
      </c>
    </row>
    <row r="850" spans="1:12" ht="15" customHeight="1">
      <c r="A850" s="493"/>
      <c r="B850" s="345" t="s">
        <v>2858</v>
      </c>
      <c r="C850" s="293" t="s">
        <v>87</v>
      </c>
      <c r="D850" s="890" t="s">
        <v>1452</v>
      </c>
      <c r="E850" s="900">
        <v>6</v>
      </c>
      <c r="F850" s="825">
        <v>0.1</v>
      </c>
      <c r="G850" s="312">
        <f>TRUNC(E850*F850,2)</f>
        <v>0.6</v>
      </c>
      <c r="L850" s="122" t="s">
        <v>2411</v>
      </c>
    </row>
    <row r="851" spans="1:12" ht="15" customHeight="1">
      <c r="F851" s="360" t="s">
        <v>90</v>
      </c>
      <c r="G851" s="322">
        <f>SUM(G845,G847)</f>
        <v>4.3100000000000005</v>
      </c>
      <c r="L851" s="289" t="s">
        <v>2404</v>
      </c>
    </row>
    <row r="852" spans="1:12" ht="15" customHeight="1">
      <c r="F852" s="301" t="s">
        <v>92</v>
      </c>
      <c r="G852" s="312">
        <f>SUM(G846,G848,G849,G850)</f>
        <v>170.99</v>
      </c>
      <c r="J852" s="289" t="s">
        <v>2402</v>
      </c>
      <c r="K852" s="644" t="s">
        <v>2403</v>
      </c>
      <c r="L852" s="645">
        <v>3.8</v>
      </c>
    </row>
    <row r="853" spans="1:12" ht="15" customHeight="1">
      <c r="A853" s="122" t="s">
        <v>94</v>
      </c>
      <c r="F853" s="301" t="s">
        <v>93</v>
      </c>
      <c r="G853" s="820">
        <f>SUM(G851:G852)</f>
        <v>175.3</v>
      </c>
      <c r="J853" s="571" t="s">
        <v>2405</v>
      </c>
      <c r="K853" s="644" t="s">
        <v>2406</v>
      </c>
      <c r="L853" s="645">
        <v>3.3</v>
      </c>
    </row>
    <row r="854" spans="1:12" ht="15" customHeight="1">
      <c r="A854" s="300" t="s">
        <v>95</v>
      </c>
      <c r="B854" s="385">
        <f>G853</f>
        <v>175.3</v>
      </c>
      <c r="J854" s="122" t="s">
        <v>2408</v>
      </c>
      <c r="K854" s="644" t="s">
        <v>2407</v>
      </c>
      <c r="L854" s="645">
        <v>5.2</v>
      </c>
    </row>
    <row r="855" spans="1:12" ht="15" customHeight="1">
      <c r="A855" s="382" t="s">
        <v>2272</v>
      </c>
      <c r="B855" s="381"/>
    </row>
    <row r="856" spans="1:12" ht="15" customHeight="1">
      <c r="A856" s="443" t="s">
        <v>2311</v>
      </c>
      <c r="B856" s="381">
        <f>(B854+B855)*0.245</f>
        <v>42.948500000000003</v>
      </c>
    </row>
    <row r="857" spans="1:12" ht="15" customHeight="1">
      <c r="A857" s="300" t="s">
        <v>98</v>
      </c>
      <c r="B857" s="386">
        <f>SUM(B854:B856)</f>
        <v>218.24850000000001</v>
      </c>
      <c r="H857" s="394"/>
      <c r="I857" s="122" t="s">
        <v>2277</v>
      </c>
    </row>
    <row r="858" spans="1:12" ht="11.25" customHeight="1">
      <c r="A858" s="362"/>
      <c r="B858" s="363"/>
      <c r="C858" s="364"/>
      <c r="D858" s="362"/>
      <c r="E858" s="363"/>
      <c r="F858" s="363"/>
      <c r="G858" s="363"/>
      <c r="H858" s="362"/>
    </row>
    <row r="859" spans="1:12" ht="11.25" customHeight="1"/>
    <row r="860" spans="1:12" ht="11.25" customHeight="1">
      <c r="A860" s="826" t="s">
        <v>2709</v>
      </c>
    </row>
    <row r="861" spans="1:12" ht="11.25" customHeight="1">
      <c r="A861" s="148" t="s">
        <v>1915</v>
      </c>
    </row>
    <row r="862" spans="1:12" ht="24.75" customHeight="1">
      <c r="A862" s="352" t="s">
        <v>1450</v>
      </c>
      <c r="B862" s="352" t="s">
        <v>2689</v>
      </c>
      <c r="C862" s="290" t="s">
        <v>391</v>
      </c>
      <c r="E862" s="352"/>
      <c r="F862" s="122"/>
      <c r="G862" s="353"/>
    </row>
    <row r="863" spans="1:12" ht="28.5" customHeight="1">
      <c r="A863" s="309" t="s">
        <v>30</v>
      </c>
      <c r="B863" s="354" t="s">
        <v>19</v>
      </c>
      <c r="C863" s="293" t="s">
        <v>81</v>
      </c>
      <c r="D863" s="294" t="s">
        <v>77</v>
      </c>
      <c r="E863" s="294" t="s">
        <v>82</v>
      </c>
      <c r="F863" s="295" t="s">
        <v>83</v>
      </c>
      <c r="G863" s="355" t="s">
        <v>84</v>
      </c>
    </row>
    <row r="864" spans="1:12" ht="28.5" customHeight="1">
      <c r="A864" s="365">
        <v>142</v>
      </c>
      <c r="B864" s="356" t="s">
        <v>560</v>
      </c>
      <c r="C864" s="293" t="s">
        <v>87</v>
      </c>
      <c r="D864" s="461" t="s">
        <v>1916</v>
      </c>
      <c r="E864" s="461">
        <v>0.161</v>
      </c>
      <c r="F864" s="835">
        <v>24.17</v>
      </c>
      <c r="G864" s="355">
        <f t="shared" ref="G864:G868" si="46">TRUNC(E864*F864,2)</f>
        <v>3.89</v>
      </c>
    </row>
    <row r="865" spans="1:7" ht="28.5" customHeight="1">
      <c r="A865" s="365">
        <v>5061</v>
      </c>
      <c r="B865" s="356" t="s">
        <v>2688</v>
      </c>
      <c r="C865" s="293" t="s">
        <v>87</v>
      </c>
      <c r="D865" s="461" t="s">
        <v>1319</v>
      </c>
      <c r="E865" s="461">
        <v>2.5000000000000001E-2</v>
      </c>
      <c r="F865" s="837">
        <v>10.99</v>
      </c>
      <c r="G865" s="355">
        <f t="shared" si="46"/>
        <v>0.27</v>
      </c>
    </row>
    <row r="866" spans="1:7" ht="28.5" customHeight="1">
      <c r="A866" s="365">
        <v>5104</v>
      </c>
      <c r="B866" s="356" t="s">
        <v>896</v>
      </c>
      <c r="C866" s="293" t="s">
        <v>87</v>
      </c>
      <c r="D866" s="461" t="s">
        <v>1319</v>
      </c>
      <c r="E866" s="461">
        <v>4.8999999999999998E-3</v>
      </c>
      <c r="F866" s="835">
        <v>47.41</v>
      </c>
      <c r="G866" s="355">
        <f t="shared" si="46"/>
        <v>0.23</v>
      </c>
    </row>
    <row r="867" spans="1:7" ht="28.5" customHeight="1">
      <c r="A867" s="365">
        <v>13388</v>
      </c>
      <c r="B867" s="356" t="s">
        <v>882</v>
      </c>
      <c r="C867" s="293" t="s">
        <v>87</v>
      </c>
      <c r="D867" s="461" t="s">
        <v>1319</v>
      </c>
      <c r="E867" s="461">
        <v>0.18</v>
      </c>
      <c r="F867" s="835">
        <v>64.23</v>
      </c>
      <c r="G867" s="355">
        <f t="shared" si="46"/>
        <v>11.56</v>
      </c>
    </row>
    <row r="868" spans="1:7" ht="28.5" customHeight="1">
      <c r="A868" s="855">
        <v>40784</v>
      </c>
      <c r="B868" s="356" t="s">
        <v>2690</v>
      </c>
      <c r="C868" s="293" t="s">
        <v>87</v>
      </c>
      <c r="D868" s="461" t="s">
        <v>391</v>
      </c>
      <c r="E868" s="461">
        <v>1.05</v>
      </c>
      <c r="F868" s="835">
        <v>75.98</v>
      </c>
      <c r="G868" s="355">
        <f t="shared" si="46"/>
        <v>79.77</v>
      </c>
    </row>
    <row r="869" spans="1:7" ht="15" customHeight="1">
      <c r="A869" s="1141">
        <v>88316</v>
      </c>
      <c r="B869" s="1129" t="s">
        <v>110</v>
      </c>
      <c r="C869" s="293" t="s">
        <v>104</v>
      </c>
      <c r="D869" s="1155" t="s">
        <v>383</v>
      </c>
      <c r="E869" s="1162">
        <v>0.63300000000000001</v>
      </c>
      <c r="F869" s="825">
        <f>'COMP AUX'!G104</f>
        <v>11.18</v>
      </c>
      <c r="G869" s="358">
        <f>TRUNC(E869*F869,2)</f>
        <v>7.07</v>
      </c>
    </row>
    <row r="870" spans="1:7" ht="15" customHeight="1">
      <c r="A870" s="1142"/>
      <c r="B870" s="1130"/>
      <c r="C870" s="293" t="s">
        <v>87</v>
      </c>
      <c r="D870" s="1156"/>
      <c r="E870" s="1163"/>
      <c r="F870" s="825">
        <f>'COMP AUX'!G105</f>
        <v>4.7300000000000004</v>
      </c>
      <c r="G870" s="312">
        <f>TRUNC(E869*F870,2)</f>
        <v>2.99</v>
      </c>
    </row>
    <row r="871" spans="1:7" ht="15" customHeight="1">
      <c r="A871" s="1159">
        <v>88323</v>
      </c>
      <c r="B871" s="1129" t="s">
        <v>902</v>
      </c>
      <c r="C871" s="293" t="s">
        <v>104</v>
      </c>
      <c r="D871" s="1155" t="s">
        <v>383</v>
      </c>
      <c r="E871" s="1162">
        <v>0.53900000000000003</v>
      </c>
      <c r="F871" s="825">
        <f>'COMP AUX'!G372</f>
        <v>16.27</v>
      </c>
      <c r="G871" s="312">
        <f t="shared" ref="G871" si="47">TRUNC(E871*F871,2)</f>
        <v>8.76</v>
      </c>
    </row>
    <row r="872" spans="1:7" ht="15" customHeight="1">
      <c r="A872" s="1160"/>
      <c r="B872" s="1130"/>
      <c r="C872" s="293" t="s">
        <v>87</v>
      </c>
      <c r="D872" s="1156"/>
      <c r="E872" s="1163"/>
      <c r="F872" s="825">
        <f>'COMP AUX'!G373</f>
        <v>4.75</v>
      </c>
      <c r="G872" s="312">
        <f>TRUNC(E871*F872,2)</f>
        <v>2.56</v>
      </c>
    </row>
    <row r="873" spans="1:7" ht="15" customHeight="1">
      <c r="A873" s="1185">
        <v>93281</v>
      </c>
      <c r="B873" s="1231" t="s">
        <v>1912</v>
      </c>
      <c r="C873" s="293" t="s">
        <v>104</v>
      </c>
      <c r="D873" s="1155" t="s">
        <v>1277</v>
      </c>
      <c r="E873" s="1165">
        <v>1.32E-2</v>
      </c>
      <c r="F873" s="825">
        <f>'COMP AUX'!G1435</f>
        <v>10.4</v>
      </c>
      <c r="G873" s="312">
        <f>TRUNC(E873*F873,2)</f>
        <v>0.13</v>
      </c>
    </row>
    <row r="874" spans="1:7" ht="15" customHeight="1">
      <c r="A874" s="1185"/>
      <c r="B874" s="1266"/>
      <c r="C874" s="293" t="s">
        <v>87</v>
      </c>
      <c r="D874" s="1156"/>
      <c r="E874" s="1166"/>
      <c r="F874" s="825">
        <f>'COMP AUX'!G1436</f>
        <v>7.58</v>
      </c>
      <c r="G874" s="312">
        <f>TRUNC(E873*F874,2)</f>
        <v>0.1</v>
      </c>
    </row>
    <row r="875" spans="1:7" ht="15" customHeight="1">
      <c r="A875" s="1185" t="s">
        <v>1911</v>
      </c>
      <c r="B875" s="1231" t="s">
        <v>1913</v>
      </c>
      <c r="C875" s="293" t="s">
        <v>104</v>
      </c>
      <c r="D875" s="1155" t="s">
        <v>1256</v>
      </c>
      <c r="E875" s="1165">
        <v>1.83E-2</v>
      </c>
      <c r="F875" s="825">
        <f>'COMP AUX'!G1514</f>
        <v>10.4</v>
      </c>
      <c r="G875" s="312">
        <f>TRUNC(E875*F875,2)</f>
        <v>0.19</v>
      </c>
    </row>
    <row r="876" spans="1:7" ht="15" customHeight="1">
      <c r="A876" s="1186"/>
      <c r="B876" s="1266"/>
      <c r="C876" s="293" t="s">
        <v>87</v>
      </c>
      <c r="D876" s="1156"/>
      <c r="E876" s="1166"/>
      <c r="F876" s="825">
        <f>'COMP AUX'!G1515</f>
        <v>4.28</v>
      </c>
      <c r="G876" s="312">
        <f>TRUNC(E875*F876,2)</f>
        <v>7.0000000000000007E-2</v>
      </c>
    </row>
    <row r="877" spans="1:7" ht="15" customHeight="1">
      <c r="F877" s="360" t="s">
        <v>90</v>
      </c>
      <c r="G877" s="322">
        <f>G871+G869+G873+G875</f>
        <v>16.150000000000002</v>
      </c>
    </row>
    <row r="878" spans="1:7" ht="15" customHeight="1">
      <c r="F878" s="301" t="s">
        <v>92</v>
      </c>
      <c r="G878" s="312">
        <f>G864+G865+G866+G867+G870+G868+G872+G874+G876</f>
        <v>101.43999999999998</v>
      </c>
    </row>
    <row r="879" spans="1:7" ht="15" customHeight="1">
      <c r="A879" s="122" t="s">
        <v>94</v>
      </c>
      <c r="F879" s="301" t="s">
        <v>93</v>
      </c>
      <c r="G879" s="820">
        <f>SUM(G877:G878)</f>
        <v>117.58999999999999</v>
      </c>
    </row>
    <row r="880" spans="1:7" ht="15" customHeight="1">
      <c r="A880" s="300" t="s">
        <v>95</v>
      </c>
      <c r="B880" s="385">
        <f>G879</f>
        <v>117.58999999999999</v>
      </c>
    </row>
    <row r="881" spans="1:9" ht="15" customHeight="1">
      <c r="A881" s="382" t="s">
        <v>2272</v>
      </c>
      <c r="B881" s="381"/>
    </row>
    <row r="882" spans="1:9" ht="15" customHeight="1">
      <c r="A882" s="443" t="s">
        <v>2311</v>
      </c>
      <c r="B882" s="381">
        <f>(B880+B881)*0.245</f>
        <v>28.809549999999998</v>
      </c>
    </row>
    <row r="883" spans="1:9" ht="15" customHeight="1">
      <c r="A883" s="300" t="s">
        <v>98</v>
      </c>
      <c r="B883" s="386">
        <f>SUM(B880:B882)</f>
        <v>146.39954999999998</v>
      </c>
      <c r="H883" s="394"/>
      <c r="I883" s="122" t="s">
        <v>2277</v>
      </c>
    </row>
    <row r="884" spans="1:9" ht="11.25" customHeight="1">
      <c r="A884" s="362"/>
      <c r="B884" s="363"/>
      <c r="C884" s="364"/>
      <c r="D884" s="362"/>
      <c r="E884" s="363"/>
      <c r="F884" s="363"/>
      <c r="G884" s="363"/>
      <c r="H884" s="362"/>
    </row>
    <row r="885" spans="1:9" ht="11.25" customHeight="1"/>
    <row r="886" spans="1:9" ht="11.25" customHeight="1">
      <c r="A886" s="122" t="s">
        <v>1194</v>
      </c>
    </row>
    <row r="887" spans="1:9" ht="11.25" customHeight="1">
      <c r="A887" s="148" t="s">
        <v>2124</v>
      </c>
    </row>
    <row r="888" spans="1:9" ht="15" customHeight="1">
      <c r="A888" s="352" t="s">
        <v>1450</v>
      </c>
      <c r="B888" s="352" t="s">
        <v>2125</v>
      </c>
      <c r="C888" s="290" t="s">
        <v>391</v>
      </c>
      <c r="E888" s="352"/>
      <c r="F888" s="122"/>
      <c r="G888" s="353"/>
    </row>
    <row r="889" spans="1:9" ht="22.5" customHeight="1">
      <c r="A889" s="309" t="s">
        <v>30</v>
      </c>
      <c r="B889" s="354" t="s">
        <v>19</v>
      </c>
      <c r="C889" s="293" t="s">
        <v>81</v>
      </c>
      <c r="D889" s="294" t="s">
        <v>77</v>
      </c>
      <c r="E889" s="294" t="s">
        <v>82</v>
      </c>
      <c r="F889" s="295" t="s">
        <v>83</v>
      </c>
      <c r="G889" s="355" t="s">
        <v>84</v>
      </c>
    </row>
    <row r="890" spans="1:9" ht="28.5" customHeight="1">
      <c r="A890" s="365" t="s">
        <v>2126</v>
      </c>
      <c r="B890" s="356" t="s">
        <v>2127</v>
      </c>
      <c r="C890" s="293" t="s">
        <v>87</v>
      </c>
      <c r="D890" s="461" t="s">
        <v>1487</v>
      </c>
      <c r="E890" s="461">
        <v>0.82499999999999996</v>
      </c>
      <c r="F890" s="295">
        <v>35.14</v>
      </c>
      <c r="G890" s="355">
        <f t="shared" ref="G890" si="48">TRUNC(E890*F890,2)</f>
        <v>28.99</v>
      </c>
    </row>
    <row r="891" spans="1:9" ht="14.1" customHeight="1">
      <c r="A891" s="1141" t="s">
        <v>1322</v>
      </c>
      <c r="B891" s="1129" t="s">
        <v>110</v>
      </c>
      <c r="C891" s="293" t="s">
        <v>104</v>
      </c>
      <c r="D891" s="1155" t="s">
        <v>383</v>
      </c>
      <c r="E891" s="1162">
        <v>0.12</v>
      </c>
      <c r="F891" s="298">
        <f>'COMP AUX'!G104</f>
        <v>11.18</v>
      </c>
      <c r="G891" s="358">
        <f>TRUNC(E891*F891,2)</f>
        <v>1.34</v>
      </c>
    </row>
    <row r="892" spans="1:9" ht="14.1" customHeight="1">
      <c r="A892" s="1142"/>
      <c r="B892" s="1130"/>
      <c r="C892" s="293" t="s">
        <v>87</v>
      </c>
      <c r="D892" s="1156"/>
      <c r="E892" s="1163"/>
      <c r="F892" s="298">
        <f>'COMP AUX'!G105</f>
        <v>4.7300000000000004</v>
      </c>
      <c r="G892" s="312">
        <f>TRUNC(E891*F892,2)</f>
        <v>0.56000000000000005</v>
      </c>
    </row>
    <row r="893" spans="1:9" ht="14.1" customHeight="1">
      <c r="A893" s="1159">
        <v>88323</v>
      </c>
      <c r="B893" s="1129" t="s">
        <v>902</v>
      </c>
      <c r="C893" s="293" t="s">
        <v>104</v>
      </c>
      <c r="D893" s="1155" t="s">
        <v>383</v>
      </c>
      <c r="E893" s="1162">
        <v>0.12</v>
      </c>
      <c r="F893" s="298">
        <f>'COMP AUX'!G372</f>
        <v>16.27</v>
      </c>
      <c r="G893" s="312">
        <f t="shared" ref="G893" si="49">TRUNC(E893*F893,2)</f>
        <v>1.95</v>
      </c>
    </row>
    <row r="894" spans="1:9" ht="14.1" customHeight="1">
      <c r="A894" s="1160"/>
      <c r="B894" s="1130"/>
      <c r="C894" s="293" t="s">
        <v>87</v>
      </c>
      <c r="D894" s="1156"/>
      <c r="E894" s="1163"/>
      <c r="F894" s="298">
        <f>'COMP AUX'!G373</f>
        <v>4.75</v>
      </c>
      <c r="G894" s="312">
        <f>TRUNC(E893*F894,2)</f>
        <v>0.56999999999999995</v>
      </c>
    </row>
    <row r="895" spans="1:9" ht="14.1" customHeight="1">
      <c r="F895" s="360" t="s">
        <v>90</v>
      </c>
      <c r="G895" s="322">
        <f>G891+G893</f>
        <v>3.29</v>
      </c>
    </row>
    <row r="896" spans="1:9" ht="14.1" customHeight="1">
      <c r="F896" s="301" t="s">
        <v>92</v>
      </c>
      <c r="G896" s="312">
        <f>G890+G892+G894</f>
        <v>30.119999999999997</v>
      </c>
    </row>
    <row r="897" spans="1:9" ht="14.1" customHeight="1">
      <c r="A897" s="122" t="s">
        <v>94</v>
      </c>
      <c r="F897" s="301" t="s">
        <v>93</v>
      </c>
      <c r="G897" s="313">
        <f>SUM(G895:G896)</f>
        <v>33.409999999999997</v>
      </c>
    </row>
    <row r="898" spans="1:9" ht="14.1" customHeight="1">
      <c r="A898" s="300" t="s">
        <v>95</v>
      </c>
      <c r="B898" s="385">
        <f>G897</f>
        <v>33.409999999999997</v>
      </c>
    </row>
    <row r="899" spans="1:9" ht="14.1" customHeight="1">
      <c r="A899" s="382" t="s">
        <v>2272</v>
      </c>
      <c r="B899" s="381"/>
    </row>
    <row r="900" spans="1:9" ht="14.1" customHeight="1">
      <c r="A900" s="443" t="s">
        <v>2311</v>
      </c>
      <c r="B900" s="381">
        <f>(B898+B899)*0.245</f>
        <v>8.1854499999999994</v>
      </c>
    </row>
    <row r="901" spans="1:9" ht="14.1" customHeight="1">
      <c r="A901" s="300" t="s">
        <v>98</v>
      </c>
      <c r="B901" s="386">
        <f>SUM(B898:B900)</f>
        <v>41.59545</v>
      </c>
      <c r="H901" s="394"/>
      <c r="I901" s="122" t="s">
        <v>2277</v>
      </c>
    </row>
    <row r="902" spans="1:9" ht="11.25" customHeight="1">
      <c r="A902" s="362"/>
      <c r="B902" s="363"/>
      <c r="C902" s="364"/>
      <c r="D902" s="362"/>
      <c r="E902" s="363"/>
      <c r="F902" s="363"/>
      <c r="G902" s="363"/>
      <c r="H902" s="362"/>
    </row>
    <row r="903" spans="1:9" ht="11.25" customHeight="1">
      <c r="A903" s="362"/>
      <c r="B903" s="363"/>
      <c r="C903" s="364"/>
      <c r="D903" s="362"/>
      <c r="E903" s="363"/>
      <c r="F903" s="363"/>
      <c r="G903" s="363"/>
      <c r="H903" s="362"/>
    </row>
    <row r="904" spans="1:9" ht="11.25" customHeight="1"/>
    <row r="905" spans="1:9" ht="11.25" customHeight="1">
      <c r="A905" s="826" t="s">
        <v>2709</v>
      </c>
    </row>
    <row r="906" spans="1:9" ht="11.25" customHeight="1">
      <c r="A906" s="148" t="s">
        <v>2855</v>
      </c>
    </row>
    <row r="907" spans="1:9" ht="22.5" customHeight="1">
      <c r="A907" s="352" t="s">
        <v>1450</v>
      </c>
      <c r="B907" s="352" t="s">
        <v>2854</v>
      </c>
      <c r="C907" s="905" t="s">
        <v>1553</v>
      </c>
      <c r="E907" s="352"/>
      <c r="F907" s="122"/>
      <c r="G907" s="353"/>
    </row>
    <row r="908" spans="1:9" ht="22.5" customHeight="1">
      <c r="A908" s="897" t="s">
        <v>30</v>
      </c>
      <c r="B908" s="354" t="s">
        <v>19</v>
      </c>
      <c r="C908" s="293" t="s">
        <v>81</v>
      </c>
      <c r="D908" s="892" t="s">
        <v>77</v>
      </c>
      <c r="E908" s="892" t="s">
        <v>82</v>
      </c>
      <c r="F908" s="890" t="s">
        <v>83</v>
      </c>
      <c r="G908" s="355" t="s">
        <v>84</v>
      </c>
    </row>
    <row r="909" spans="1:9" ht="14.1" customHeight="1">
      <c r="A909" s="1141">
        <v>88310</v>
      </c>
      <c r="B909" s="1129" t="s">
        <v>995</v>
      </c>
      <c r="C909" s="293" t="s">
        <v>104</v>
      </c>
      <c r="D909" s="1155" t="s">
        <v>383</v>
      </c>
      <c r="E909" s="1276">
        <v>0.4</v>
      </c>
      <c r="F909" s="825">
        <f>'COMP AUX'!G236</f>
        <v>14.96</v>
      </c>
      <c r="G909" s="358">
        <f>TRUNC(E909*F909,2)</f>
        <v>5.98</v>
      </c>
    </row>
    <row r="910" spans="1:9" ht="14.1" customHeight="1">
      <c r="A910" s="1142"/>
      <c r="B910" s="1130"/>
      <c r="C910" s="293" t="s">
        <v>87</v>
      </c>
      <c r="D910" s="1156"/>
      <c r="E910" s="1277"/>
      <c r="F910" s="825">
        <f>'COMP AUX'!G237</f>
        <v>5.96</v>
      </c>
      <c r="G910" s="358">
        <f>TRUNC(E909*F910,2)</f>
        <v>2.38</v>
      </c>
    </row>
    <row r="911" spans="1:9" ht="14.1" customHeight="1">
      <c r="A911" s="1141" t="s">
        <v>1322</v>
      </c>
      <c r="B911" s="1129" t="s">
        <v>110</v>
      </c>
      <c r="C911" s="293" t="s">
        <v>104</v>
      </c>
      <c r="D911" s="1155" t="s">
        <v>383</v>
      </c>
      <c r="E911" s="1276">
        <v>0.35</v>
      </c>
      <c r="F911" s="825">
        <f>'COMP AUX'!G104</f>
        <v>11.18</v>
      </c>
      <c r="G911" s="358">
        <f>TRUNC(E911*F911,2)</f>
        <v>3.91</v>
      </c>
    </row>
    <row r="912" spans="1:9" ht="14.1" customHeight="1">
      <c r="A912" s="1142"/>
      <c r="B912" s="1130"/>
      <c r="C912" s="293" t="s">
        <v>87</v>
      </c>
      <c r="D912" s="1156"/>
      <c r="E912" s="1277"/>
      <c r="F912" s="825">
        <f>'COMP AUX'!G105</f>
        <v>4.7300000000000004</v>
      </c>
      <c r="G912" s="358">
        <f>TRUNC(E911*F912,2)</f>
        <v>1.65</v>
      </c>
    </row>
    <row r="913" spans="1:9" ht="22.5" customHeight="1">
      <c r="A913" s="889">
        <v>3767</v>
      </c>
      <c r="B913" s="895" t="s">
        <v>2851</v>
      </c>
      <c r="C913" s="293" t="s">
        <v>87</v>
      </c>
      <c r="D913" s="899" t="s">
        <v>2713</v>
      </c>
      <c r="E913" s="962">
        <v>0.4</v>
      </c>
      <c r="F913" s="835">
        <v>0.63</v>
      </c>
      <c r="G913" s="358">
        <f>TRUNC(E913*F913,2)</f>
        <v>0.25</v>
      </c>
    </row>
    <row r="914" spans="1:9" ht="22.5" customHeight="1">
      <c r="A914" s="889">
        <v>5318</v>
      </c>
      <c r="B914" s="904" t="s">
        <v>2201</v>
      </c>
      <c r="C914" s="293" t="s">
        <v>87</v>
      </c>
      <c r="D914" s="899" t="s">
        <v>1207</v>
      </c>
      <c r="E914" s="962">
        <v>0.04</v>
      </c>
      <c r="F914" s="835">
        <v>12.41</v>
      </c>
      <c r="G914" s="358">
        <f>TRUNC(E914*F914,2)</f>
        <v>0.49</v>
      </c>
    </row>
    <row r="915" spans="1:9" ht="28.5" customHeight="1">
      <c r="A915" s="889" t="s">
        <v>2853</v>
      </c>
      <c r="B915" s="894" t="s">
        <v>2852</v>
      </c>
      <c r="C915" s="293" t="s">
        <v>87</v>
      </c>
      <c r="D915" s="899" t="s">
        <v>1487</v>
      </c>
      <c r="E915" s="962">
        <v>5.6000000000000001E-2</v>
      </c>
      <c r="F915" s="835">
        <v>72.05</v>
      </c>
      <c r="G915" s="358">
        <f>TRUNC(E915*F915,2)</f>
        <v>4.03</v>
      </c>
    </row>
    <row r="916" spans="1:9" ht="14.1" customHeight="1">
      <c r="A916" s="897">
        <v>7288</v>
      </c>
      <c r="B916" s="898" t="s">
        <v>2232</v>
      </c>
      <c r="C916" s="293" t="s">
        <v>87</v>
      </c>
      <c r="D916" s="899" t="s">
        <v>1207</v>
      </c>
      <c r="E916" s="815">
        <v>0.16</v>
      </c>
      <c r="F916" s="825">
        <v>26.22</v>
      </c>
      <c r="G916" s="358">
        <f>TRUNC(E916*F916,2)</f>
        <v>4.1900000000000004</v>
      </c>
    </row>
    <row r="917" spans="1:9" ht="14.1" customHeight="1">
      <c r="F917" s="360" t="s">
        <v>90</v>
      </c>
      <c r="G917" s="322">
        <f>SUM(G909,G911)</f>
        <v>9.89</v>
      </c>
    </row>
    <row r="918" spans="1:9" ht="14.1" customHeight="1">
      <c r="A918"/>
      <c r="F918" s="301" t="s">
        <v>92</v>
      </c>
      <c r="G918" s="312">
        <f>SUM(G913:G916)</f>
        <v>8.9600000000000009</v>
      </c>
    </row>
    <row r="919" spans="1:9" ht="14.1" customHeight="1">
      <c r="A919" s="122" t="s">
        <v>94</v>
      </c>
      <c r="F919" s="301" t="s">
        <v>93</v>
      </c>
      <c r="G919" s="820">
        <f>SUM(G917:G918)</f>
        <v>18.850000000000001</v>
      </c>
    </row>
    <row r="920" spans="1:9" ht="14.1" customHeight="1">
      <c r="A920" s="300" t="s">
        <v>95</v>
      </c>
      <c r="B920" s="385">
        <f>G919</f>
        <v>18.850000000000001</v>
      </c>
    </row>
    <row r="921" spans="1:9" ht="14.1" customHeight="1">
      <c r="A921" s="382" t="s">
        <v>2272</v>
      </c>
      <c r="B921" s="381"/>
    </row>
    <row r="922" spans="1:9" ht="14.1" customHeight="1">
      <c r="A922" s="443" t="s">
        <v>2311</v>
      </c>
      <c r="B922" s="381">
        <f>(B920+B921)*0.245</f>
        <v>4.6182500000000006</v>
      </c>
    </row>
    <row r="923" spans="1:9" ht="14.1" customHeight="1">
      <c r="A923" s="300" t="s">
        <v>98</v>
      </c>
      <c r="B923" s="386">
        <f>SUM(B920:B922)</f>
        <v>23.468250000000001</v>
      </c>
      <c r="H923" s="394"/>
      <c r="I923" s="122" t="s">
        <v>2277</v>
      </c>
    </row>
    <row r="924" spans="1:9" ht="11.25" customHeight="1">
      <c r="A924" s="362"/>
      <c r="B924" s="363"/>
      <c r="C924" s="364"/>
      <c r="D924" s="362"/>
      <c r="E924" s="363"/>
      <c r="F924" s="363"/>
      <c r="G924" s="363"/>
      <c r="H924" s="362"/>
    </row>
    <row r="925" spans="1:9" ht="11.25" customHeight="1"/>
    <row r="926" spans="1:9" ht="11.25" customHeight="1">
      <c r="A926" s="826" t="s">
        <v>2709</v>
      </c>
    </row>
    <row r="927" spans="1:9" ht="11.25" customHeight="1">
      <c r="A927" s="148" t="s">
        <v>2579</v>
      </c>
    </row>
    <row r="928" spans="1:9" ht="15" customHeight="1">
      <c r="A928" s="352" t="s">
        <v>1450</v>
      </c>
      <c r="B928" s="352" t="s">
        <v>2491</v>
      </c>
      <c r="C928" s="494" t="s">
        <v>1487</v>
      </c>
      <c r="D928" s="352"/>
      <c r="E928" s="122"/>
      <c r="F928" s="122"/>
      <c r="G928" s="353"/>
    </row>
    <row r="929" spans="1:12" ht="26.25" customHeight="1">
      <c r="A929" s="309" t="s">
        <v>30</v>
      </c>
      <c r="B929" s="354" t="s">
        <v>19</v>
      </c>
      <c r="C929" s="293" t="s">
        <v>81</v>
      </c>
      <c r="D929" s="294" t="s">
        <v>77</v>
      </c>
      <c r="E929" s="294" t="s">
        <v>82</v>
      </c>
      <c r="F929" s="295" t="s">
        <v>83</v>
      </c>
      <c r="G929" s="355" t="s">
        <v>84</v>
      </c>
    </row>
    <row r="930" spans="1:12" ht="15" customHeight="1">
      <c r="A930" s="1141" t="s">
        <v>1322</v>
      </c>
      <c r="B930" s="1129" t="s">
        <v>110</v>
      </c>
      <c r="C930" s="293" t="s">
        <v>104</v>
      </c>
      <c r="D930" s="1131" t="s">
        <v>383</v>
      </c>
      <c r="E930" s="1162">
        <v>1.4</v>
      </c>
      <c r="F930" s="825">
        <f>'COMP AUX'!G104</f>
        <v>11.18</v>
      </c>
      <c r="G930" s="358">
        <f>TRUNC(E930*F930,2)</f>
        <v>15.65</v>
      </c>
    </row>
    <row r="931" spans="1:12" ht="15" customHeight="1">
      <c r="A931" s="1142"/>
      <c r="B931" s="1130"/>
      <c r="C931" s="293" t="s">
        <v>87</v>
      </c>
      <c r="D931" s="1131"/>
      <c r="E931" s="1163"/>
      <c r="F931" s="825">
        <f>'COMP AUX'!G105</f>
        <v>4.7300000000000004</v>
      </c>
      <c r="G931" s="312">
        <f>TRUNC(E930*F931,2)</f>
        <v>6.62</v>
      </c>
    </row>
    <row r="932" spans="1:12" ht="15" customHeight="1">
      <c r="A932" s="1141">
        <v>88262</v>
      </c>
      <c r="B932" s="1129" t="s">
        <v>1751</v>
      </c>
      <c r="C932" s="293" t="s">
        <v>104</v>
      </c>
      <c r="D932" s="1153" t="s">
        <v>383</v>
      </c>
      <c r="E932" s="1162">
        <v>1.4</v>
      </c>
      <c r="F932" s="825">
        <f>'COMP AUX'!G87</f>
        <v>14.92</v>
      </c>
      <c r="G932" s="312">
        <f>TRUNC(E932:E932*F932,2)</f>
        <v>20.88</v>
      </c>
    </row>
    <row r="933" spans="1:12" ht="15" customHeight="1">
      <c r="A933" s="1142"/>
      <c r="B933" s="1130"/>
      <c r="C933" s="293" t="s">
        <v>87</v>
      </c>
      <c r="D933" s="1154"/>
      <c r="E933" s="1163"/>
      <c r="F933" s="825">
        <f>'COMP AUX'!G88</f>
        <v>4.75</v>
      </c>
      <c r="G933" s="312">
        <f>TRUNC(E932:E932*F933,2)</f>
        <v>6.65</v>
      </c>
    </row>
    <row r="934" spans="1:12" ht="15" customHeight="1">
      <c r="A934" s="565" t="s">
        <v>79</v>
      </c>
      <c r="B934" s="331" t="s">
        <v>2482</v>
      </c>
      <c r="C934" s="293" t="s">
        <v>87</v>
      </c>
      <c r="D934" s="541" t="s">
        <v>1553</v>
      </c>
      <c r="E934" s="540">
        <v>0.33400000000000002</v>
      </c>
      <c r="F934" s="298">
        <v>405.9</v>
      </c>
      <c r="G934" s="312">
        <f>TRUNC(E934*F934,2)</f>
        <v>135.57</v>
      </c>
      <c r="K934" s="639">
        <f>1.2*2.5</f>
        <v>3</v>
      </c>
      <c r="L934" s="122">
        <v>405.9</v>
      </c>
    </row>
    <row r="935" spans="1:12" ht="26.25" customHeight="1">
      <c r="A935" s="565">
        <v>39422</v>
      </c>
      <c r="B935" s="331" t="s">
        <v>2572</v>
      </c>
      <c r="C935" s="293" t="s">
        <v>87</v>
      </c>
      <c r="D935" s="541" t="s">
        <v>1452</v>
      </c>
      <c r="E935" s="540">
        <v>0.33400000000000002</v>
      </c>
      <c r="F935" s="825">
        <v>6.07</v>
      </c>
      <c r="G935" s="312">
        <f>TRUNC(E935*F935,2)</f>
        <v>2.02</v>
      </c>
      <c r="K935" s="122">
        <v>1</v>
      </c>
      <c r="L935" s="122">
        <f>L934/K934</f>
        <v>135.29999999999998</v>
      </c>
    </row>
    <row r="936" spans="1:12" ht="25.5" customHeight="1">
      <c r="A936" s="565">
        <v>39419</v>
      </c>
      <c r="B936" s="331" t="s">
        <v>2674</v>
      </c>
      <c r="C936" s="293" t="s">
        <v>87</v>
      </c>
      <c r="D936" s="541" t="s">
        <v>1452</v>
      </c>
      <c r="E936" s="540">
        <v>0.33400000000000002</v>
      </c>
      <c r="F936" s="825">
        <v>5.35</v>
      </c>
      <c r="G936" s="312">
        <f t="shared" ref="G936:G937" si="50">TRUNC(E936*F936,2)</f>
        <v>1.78</v>
      </c>
    </row>
    <row r="937" spans="1:12" ht="36" customHeight="1">
      <c r="A937" s="565">
        <v>39434</v>
      </c>
      <c r="B937" s="331" t="s">
        <v>2672</v>
      </c>
      <c r="C937" s="293" t="s">
        <v>87</v>
      </c>
      <c r="D937" s="541" t="s">
        <v>1319</v>
      </c>
      <c r="E937" s="540">
        <v>10</v>
      </c>
      <c r="F937" s="825">
        <v>3.97</v>
      </c>
      <c r="G937" s="312">
        <f t="shared" si="50"/>
        <v>39.700000000000003</v>
      </c>
    </row>
    <row r="938" spans="1:12" ht="39" customHeight="1">
      <c r="A938" s="354">
        <v>39438</v>
      </c>
      <c r="B938" s="345" t="s">
        <v>2673</v>
      </c>
      <c r="C938" s="293" t="s">
        <v>87</v>
      </c>
      <c r="D938" s="295" t="s">
        <v>1452</v>
      </c>
      <c r="E938" s="298">
        <v>34</v>
      </c>
      <c r="F938" s="825">
        <v>0.18</v>
      </c>
      <c r="G938" s="312">
        <f t="shared" ref="G938:G939" si="51">TRUNC(E938*F938,2)</f>
        <v>6.12</v>
      </c>
    </row>
    <row r="939" spans="1:12" ht="15" customHeight="1">
      <c r="A939" s="309">
        <v>20247</v>
      </c>
      <c r="B939" s="354" t="s">
        <v>2671</v>
      </c>
      <c r="C939" s="293" t="s">
        <v>87</v>
      </c>
      <c r="D939" s="294" t="s">
        <v>1319</v>
      </c>
      <c r="E939" s="311">
        <v>0.33400000000000002</v>
      </c>
      <c r="F939" s="825">
        <v>12.28</v>
      </c>
      <c r="G939" s="312">
        <f t="shared" si="51"/>
        <v>4.0999999999999996</v>
      </c>
    </row>
    <row r="940" spans="1:12" ht="15" customHeight="1">
      <c r="F940" s="360" t="s">
        <v>90</v>
      </c>
      <c r="G940" s="322">
        <f>G930+G932</f>
        <v>36.53</v>
      </c>
    </row>
    <row r="941" spans="1:12" ht="15" customHeight="1">
      <c r="F941" s="301" t="s">
        <v>92</v>
      </c>
      <c r="G941" s="312">
        <f>G931+G933+G934+G935+G936+G937+G938+G939</f>
        <v>202.56000000000003</v>
      </c>
    </row>
    <row r="942" spans="1:12" ht="15" customHeight="1">
      <c r="A942" s="122" t="s">
        <v>94</v>
      </c>
      <c r="F942" s="301" t="s">
        <v>93</v>
      </c>
      <c r="G942" s="820">
        <f>SUM(G940:G941)</f>
        <v>239.09000000000003</v>
      </c>
    </row>
    <row r="943" spans="1:12" ht="15" customHeight="1">
      <c r="A943" s="300" t="s">
        <v>95</v>
      </c>
      <c r="B943" s="385">
        <f>G942</f>
        <v>239.09000000000003</v>
      </c>
    </row>
    <row r="944" spans="1:12" ht="15" customHeight="1">
      <c r="A944" s="382" t="s">
        <v>2272</v>
      </c>
      <c r="B944" s="381"/>
    </row>
    <row r="945" spans="1:9" ht="15" customHeight="1">
      <c r="A945" s="443" t="s">
        <v>2311</v>
      </c>
      <c r="B945" s="381">
        <f>(B943+B944)*0.245</f>
        <v>58.577050000000007</v>
      </c>
      <c r="C945" s="124">
        <v>163.72</v>
      </c>
      <c r="D945" s="122" t="s">
        <v>2975</v>
      </c>
    </row>
    <row r="946" spans="1:9" ht="15" customHeight="1">
      <c r="A946" s="300" t="s">
        <v>98</v>
      </c>
      <c r="B946" s="386">
        <f>SUM(B943:B945)</f>
        <v>297.66705000000002</v>
      </c>
      <c r="C946" s="124">
        <v>133.94999999999999</v>
      </c>
      <c r="H946" s="394"/>
      <c r="I946" s="122" t="s">
        <v>2277</v>
      </c>
    </row>
    <row r="947" spans="1:9" ht="11.25" customHeight="1">
      <c r="A947" s="362"/>
      <c r="B947" s="363"/>
      <c r="C947" s="364"/>
      <c r="D947" s="362"/>
      <c r="E947" s="363"/>
      <c r="F947" s="363"/>
      <c r="G947" s="363"/>
      <c r="H947" s="362"/>
    </row>
    <row r="948" spans="1:9" ht="11.25" customHeight="1"/>
    <row r="949" spans="1:9" ht="11.25" customHeight="1">
      <c r="A949" s="122" t="s">
        <v>2709</v>
      </c>
    </row>
    <row r="950" spans="1:9" ht="11.25" customHeight="1">
      <c r="A950" s="879" t="s">
        <v>2485</v>
      </c>
    </row>
    <row r="951" spans="1:9" ht="15" customHeight="1">
      <c r="A951" s="352" t="s">
        <v>1450</v>
      </c>
      <c r="B951" s="352" t="s">
        <v>2483</v>
      </c>
      <c r="C951" s="494" t="s">
        <v>1487</v>
      </c>
      <c r="D951" s="352"/>
      <c r="E951" s="122"/>
      <c r="F951" s="122"/>
      <c r="G951" s="353"/>
    </row>
    <row r="952" spans="1:9" ht="24" customHeight="1">
      <c r="A952" s="309" t="s">
        <v>30</v>
      </c>
      <c r="B952" s="354" t="s">
        <v>19</v>
      </c>
      <c r="C952" s="293" t="s">
        <v>81</v>
      </c>
      <c r="D952" s="294" t="s">
        <v>77</v>
      </c>
      <c r="E952" s="294" t="s">
        <v>82</v>
      </c>
      <c r="F952" s="295" t="s">
        <v>83</v>
      </c>
      <c r="G952" s="355" t="s">
        <v>84</v>
      </c>
    </row>
    <row r="953" spans="1:9" ht="15" customHeight="1">
      <c r="A953" s="1141" t="s">
        <v>1322</v>
      </c>
      <c r="B953" s="1129" t="s">
        <v>110</v>
      </c>
      <c r="C953" s="293" t="s">
        <v>104</v>
      </c>
      <c r="D953" s="1131" t="s">
        <v>383</v>
      </c>
      <c r="E953" s="1165">
        <v>0.3</v>
      </c>
      <c r="F953" s="825">
        <f>'COMP AUX'!G104</f>
        <v>11.18</v>
      </c>
      <c r="G953" s="358">
        <f>TRUNC(E953*F953,2)</f>
        <v>3.35</v>
      </c>
    </row>
    <row r="954" spans="1:9" ht="15" customHeight="1">
      <c r="A954" s="1142"/>
      <c r="B954" s="1130"/>
      <c r="C954" s="293" t="s">
        <v>87</v>
      </c>
      <c r="D954" s="1131"/>
      <c r="E954" s="1166"/>
      <c r="F954" s="825">
        <f>'COMP AUX'!G105</f>
        <v>4.7300000000000004</v>
      </c>
      <c r="G954" s="312">
        <f>TRUNC(E953*F954,2)</f>
        <v>1.41</v>
      </c>
    </row>
    <row r="955" spans="1:9" ht="15" customHeight="1">
      <c r="A955" s="1141">
        <v>88262</v>
      </c>
      <c r="B955" s="1129" t="s">
        <v>1751</v>
      </c>
      <c r="C955" s="293" t="s">
        <v>104</v>
      </c>
      <c r="D955" s="1153" t="s">
        <v>383</v>
      </c>
      <c r="E955" s="1165">
        <v>0.3</v>
      </c>
      <c r="F955" s="825">
        <f>'COMP AUX'!G87</f>
        <v>14.92</v>
      </c>
      <c r="G955" s="312">
        <f>TRUNC(E955:E955*F955,2)</f>
        <v>4.47</v>
      </c>
    </row>
    <row r="956" spans="1:9" ht="15" customHeight="1">
      <c r="A956" s="1142"/>
      <c r="B956" s="1130"/>
      <c r="C956" s="293" t="s">
        <v>87</v>
      </c>
      <c r="D956" s="1154"/>
      <c r="E956" s="1166"/>
      <c r="F956" s="825">
        <f>'COMP AUX'!G88</f>
        <v>4.75</v>
      </c>
      <c r="G956" s="312">
        <f>TRUNC(E955:E955*F956,2)</f>
        <v>1.42</v>
      </c>
    </row>
    <row r="957" spans="1:9" ht="15" customHeight="1">
      <c r="A957" s="565" t="s">
        <v>79</v>
      </c>
      <c r="B957" s="331" t="s">
        <v>2482</v>
      </c>
      <c r="C957" s="293" t="s">
        <v>87</v>
      </c>
      <c r="D957" s="541" t="s">
        <v>1553</v>
      </c>
      <c r="E957" s="540">
        <v>0.33400000000000002</v>
      </c>
      <c r="F957" s="298">
        <v>405.9</v>
      </c>
      <c r="G957" s="312">
        <f>TRUNC(E957*F957,2)</f>
        <v>135.57</v>
      </c>
    </row>
    <row r="958" spans="1:9" ht="34.5" customHeight="1">
      <c r="A958" s="309">
        <v>11950</v>
      </c>
      <c r="B958" s="297" t="s">
        <v>2573</v>
      </c>
      <c r="C958" s="293" t="s">
        <v>87</v>
      </c>
      <c r="D958" s="294" t="s">
        <v>1452</v>
      </c>
      <c r="E958" s="311">
        <v>34</v>
      </c>
      <c r="F958" s="825">
        <v>0.14000000000000001</v>
      </c>
      <c r="G958" s="312">
        <f t="shared" ref="G958" si="52">TRUNC(E958*F958,2)</f>
        <v>4.76</v>
      </c>
    </row>
    <row r="959" spans="1:9" ht="14.1" customHeight="1">
      <c r="F959" s="360" t="s">
        <v>90</v>
      </c>
      <c r="G959" s="322">
        <f>G953+G955</f>
        <v>7.82</v>
      </c>
    </row>
    <row r="960" spans="1:9" ht="14.1" customHeight="1">
      <c r="F960" s="301" t="s">
        <v>92</v>
      </c>
      <c r="G960" s="312">
        <f>G954+G956+G957+G958</f>
        <v>143.16</v>
      </c>
    </row>
    <row r="961" spans="1:8" ht="14.1" customHeight="1">
      <c r="A961" s="122" t="s">
        <v>94</v>
      </c>
      <c r="F961" s="301" t="s">
        <v>93</v>
      </c>
      <c r="G961" s="820">
        <f>SUM(G959:G960)</f>
        <v>150.97999999999999</v>
      </c>
    </row>
    <row r="962" spans="1:8" ht="14.1" customHeight="1">
      <c r="A962" s="300" t="s">
        <v>95</v>
      </c>
      <c r="B962" s="385">
        <f>G961</f>
        <v>150.97999999999999</v>
      </c>
    </row>
    <row r="963" spans="1:8" ht="14.1" customHeight="1">
      <c r="A963" s="382" t="s">
        <v>2272</v>
      </c>
      <c r="B963" s="381"/>
    </row>
    <row r="964" spans="1:8" ht="14.1" customHeight="1">
      <c r="A964" s="443" t="s">
        <v>2311</v>
      </c>
      <c r="B964" s="381">
        <f>(B962+B963)*0.245</f>
        <v>36.990099999999998</v>
      </c>
      <c r="C964" s="124">
        <f>B965-C965</f>
        <v>153.28961655000001</v>
      </c>
      <c r="D964" s="122" t="s">
        <v>87</v>
      </c>
    </row>
    <row r="965" spans="1:8" ht="14.1" customHeight="1">
      <c r="A965" s="300" t="s">
        <v>98</v>
      </c>
      <c r="B965" s="386">
        <f>SUM(B962:B964)</f>
        <v>187.9701</v>
      </c>
      <c r="C965" s="124">
        <f>B965*0.1845</f>
        <v>34.680483449999997</v>
      </c>
      <c r="D965" s="122" t="s">
        <v>2980</v>
      </c>
      <c r="H965" s="394"/>
    </row>
    <row r="966" spans="1:8" ht="11.25" customHeight="1">
      <c r="A966" s="362"/>
      <c r="B966" s="363"/>
      <c r="C966" s="364"/>
      <c r="D966" s="362"/>
      <c r="E966" s="363"/>
      <c r="F966" s="363"/>
      <c r="G966" s="363"/>
      <c r="H966" s="362"/>
    </row>
    <row r="967" spans="1:8" ht="11.25" customHeight="1">
      <c r="A967" s="362"/>
      <c r="B967" s="363"/>
      <c r="C967" s="364"/>
      <c r="D967" s="362"/>
      <c r="E967" s="363"/>
      <c r="F967" s="363"/>
      <c r="G967" s="363"/>
      <c r="H967" s="362"/>
    </row>
    <row r="968" spans="1:8" ht="11.25" customHeight="1"/>
    <row r="969" spans="1:8" ht="11.25" customHeight="1">
      <c r="A969" s="826" t="s">
        <v>2709</v>
      </c>
    </row>
    <row r="970" spans="1:8" ht="11.25" customHeight="1">
      <c r="A970" s="879" t="s">
        <v>2867</v>
      </c>
    </row>
    <row r="971" spans="1:8" ht="35.25" customHeight="1">
      <c r="A971" s="352" t="s">
        <v>1450</v>
      </c>
      <c r="B971" s="965" t="s">
        <v>2866</v>
      </c>
      <c r="C971" s="494" t="s">
        <v>2713</v>
      </c>
      <c r="D971" s="352"/>
      <c r="E971" s="122"/>
      <c r="F971" s="122"/>
      <c r="G971" s="353"/>
    </row>
    <row r="972" spans="1:8" ht="26.25" customHeight="1">
      <c r="A972" s="897" t="s">
        <v>30</v>
      </c>
      <c r="B972" s="354" t="s">
        <v>19</v>
      </c>
      <c r="C972" s="293" t="s">
        <v>81</v>
      </c>
      <c r="D972" s="892" t="s">
        <v>77</v>
      </c>
      <c r="E972" s="892" t="s">
        <v>82</v>
      </c>
      <c r="F972" s="890" t="s">
        <v>83</v>
      </c>
      <c r="G972" s="355" t="s">
        <v>84</v>
      </c>
    </row>
    <row r="973" spans="1:8" ht="15" customHeight="1">
      <c r="A973" s="1141">
        <v>88248</v>
      </c>
      <c r="B973" s="1173" t="s">
        <v>307</v>
      </c>
      <c r="C973" s="293" t="s">
        <v>104</v>
      </c>
      <c r="D973" s="1131" t="s">
        <v>383</v>
      </c>
      <c r="E973" s="1162">
        <v>1.4</v>
      </c>
      <c r="F973" s="825">
        <f>'COMP AUX'!G321</f>
        <v>10.98</v>
      </c>
      <c r="G973" s="358">
        <f>TRUNC(E973*F973,2)</f>
        <v>15.37</v>
      </c>
    </row>
    <row r="974" spans="1:8" ht="15" customHeight="1">
      <c r="A974" s="1142"/>
      <c r="B974" s="1174"/>
      <c r="C974" s="293" t="s">
        <v>87</v>
      </c>
      <c r="D974" s="1131"/>
      <c r="E974" s="1163"/>
      <c r="F974" s="825">
        <f>'COMP AUX'!G322</f>
        <v>4.4000000000000004</v>
      </c>
      <c r="G974" s="312">
        <f>TRUNC(E973*F974,2)</f>
        <v>6.16</v>
      </c>
    </row>
    <row r="975" spans="1:8" ht="15" customHeight="1">
      <c r="A975" s="1141">
        <v>88267</v>
      </c>
      <c r="B975" s="1173" t="s">
        <v>2859</v>
      </c>
      <c r="C975" s="293" t="s">
        <v>104</v>
      </c>
      <c r="D975" s="1153" t="s">
        <v>383</v>
      </c>
      <c r="E975" s="1162">
        <v>1.4</v>
      </c>
      <c r="F975" s="825">
        <f>'COMP AUX'!G338</f>
        <v>15.5</v>
      </c>
      <c r="G975" s="312">
        <f>TRUNC(E975:E975*F975,2)</f>
        <v>21.7</v>
      </c>
    </row>
    <row r="976" spans="1:8" ht="15" customHeight="1">
      <c r="A976" s="1142"/>
      <c r="B976" s="1174"/>
      <c r="C976" s="293" t="s">
        <v>87</v>
      </c>
      <c r="D976" s="1154"/>
      <c r="E976" s="1163"/>
      <c r="F976" s="825">
        <f>'COMP AUX'!G339</f>
        <v>4.4000000000000004</v>
      </c>
      <c r="G976" s="312">
        <f>TRUNC(E975:E975*F976,2)</f>
        <v>6.16</v>
      </c>
    </row>
    <row r="977" spans="1:12" ht="15" customHeight="1">
      <c r="A977" s="903">
        <v>3148</v>
      </c>
      <c r="B977" s="887" t="s">
        <v>2388</v>
      </c>
      <c r="C977" s="293" t="s">
        <v>87</v>
      </c>
      <c r="D977" s="888" t="s">
        <v>1553</v>
      </c>
      <c r="E977" s="896">
        <v>0.33400000000000002</v>
      </c>
      <c r="F977" s="825">
        <v>12.5</v>
      </c>
      <c r="G977" s="312">
        <f>TRUNC(E977*F977,2)</f>
        <v>4.17</v>
      </c>
      <c r="K977" s="639">
        <f>1.2*2.5</f>
        <v>3</v>
      </c>
      <c r="L977" s="122">
        <v>405.9</v>
      </c>
    </row>
    <row r="978" spans="1:12" ht="26.25" customHeight="1">
      <c r="A978" s="903" t="s">
        <v>2875</v>
      </c>
      <c r="B978" s="887" t="s">
        <v>2874</v>
      </c>
      <c r="C978" s="293" t="s">
        <v>87</v>
      </c>
      <c r="D978" s="888" t="s">
        <v>1452</v>
      </c>
      <c r="E978" s="896">
        <v>1</v>
      </c>
      <c r="F978" s="825">
        <v>36</v>
      </c>
      <c r="G978" s="312">
        <f>TRUNC(E978*F978,2)</f>
        <v>36</v>
      </c>
      <c r="K978" s="122">
        <v>1</v>
      </c>
      <c r="L978" s="122">
        <f>L977/K977</f>
        <v>135.29999999999998</v>
      </c>
    </row>
    <row r="979" spans="1:12" ht="15" customHeight="1">
      <c r="F979" s="360" t="s">
        <v>90</v>
      </c>
      <c r="G979" s="322">
        <f>G973+G975</f>
        <v>37.07</v>
      </c>
    </row>
    <row r="980" spans="1:12" ht="15" customHeight="1">
      <c r="F980" s="301" t="s">
        <v>92</v>
      </c>
      <c r="G980" s="312">
        <f>SUM(G974,G976,G977,G978)</f>
        <v>52.49</v>
      </c>
    </row>
    <row r="981" spans="1:12" ht="15" customHeight="1">
      <c r="A981" s="122" t="s">
        <v>94</v>
      </c>
      <c r="F981" s="301" t="s">
        <v>93</v>
      </c>
      <c r="G981" s="820">
        <f>SUM(G979:G980)</f>
        <v>89.56</v>
      </c>
    </row>
    <row r="982" spans="1:12" ht="15" customHeight="1">
      <c r="A982" s="300" t="s">
        <v>95</v>
      </c>
      <c r="B982" s="385">
        <f>G981</f>
        <v>89.56</v>
      </c>
    </row>
    <row r="983" spans="1:12" ht="15" customHeight="1">
      <c r="A983" s="382" t="s">
        <v>2272</v>
      </c>
      <c r="B983" s="381"/>
    </row>
    <row r="984" spans="1:12" ht="15" customHeight="1">
      <c r="A984" s="443" t="s">
        <v>2311</v>
      </c>
      <c r="B984" s="381">
        <f>(B982+B983)*0.245</f>
        <v>21.9422</v>
      </c>
    </row>
    <row r="985" spans="1:12" ht="15" customHeight="1">
      <c r="A985" s="300" t="s">
        <v>98</v>
      </c>
      <c r="B985" s="386">
        <f>SUM(B982:B984)</f>
        <v>111.5022</v>
      </c>
      <c r="H985" s="394"/>
      <c r="I985" s="122" t="s">
        <v>2277</v>
      </c>
    </row>
    <row r="986" spans="1:12" ht="11.25" customHeight="1">
      <c r="A986" s="362"/>
      <c r="B986" s="363"/>
      <c r="C986" s="364"/>
      <c r="D986" s="362"/>
      <c r="E986" s="363"/>
      <c r="F986" s="363"/>
      <c r="G986" s="363"/>
      <c r="H986" s="362"/>
    </row>
    <row r="987" spans="1:12" ht="11.25" customHeight="1"/>
    <row r="988" spans="1:12" ht="11.25" customHeight="1">
      <c r="A988" s="826" t="s">
        <v>2709</v>
      </c>
    </row>
    <row r="989" spans="1:12" ht="11.25" customHeight="1">
      <c r="A989" s="148" t="s">
        <v>2864</v>
      </c>
    </row>
    <row r="990" spans="1:12" ht="22.5" customHeight="1">
      <c r="A990" s="352" t="s">
        <v>1450</v>
      </c>
      <c r="B990" s="352" t="s">
        <v>2865</v>
      </c>
      <c r="C990" s="494" t="s">
        <v>2713</v>
      </c>
      <c r="D990" s="352"/>
      <c r="E990" s="122"/>
      <c r="F990" s="122"/>
      <c r="G990" s="353"/>
    </row>
    <row r="991" spans="1:12" ht="26.25" customHeight="1">
      <c r="A991" s="897" t="s">
        <v>30</v>
      </c>
      <c r="B991" s="354" t="s">
        <v>19</v>
      </c>
      <c r="C991" s="293" t="s">
        <v>81</v>
      </c>
      <c r="D991" s="892" t="s">
        <v>77</v>
      </c>
      <c r="E991" s="892" t="s">
        <v>82</v>
      </c>
      <c r="F991" s="890" t="s">
        <v>83</v>
      </c>
      <c r="G991" s="355" t="s">
        <v>84</v>
      </c>
    </row>
    <row r="992" spans="1:12" ht="15" customHeight="1">
      <c r="A992" s="1141">
        <v>88248</v>
      </c>
      <c r="B992" s="1173" t="s">
        <v>307</v>
      </c>
      <c r="C992" s="293" t="s">
        <v>104</v>
      </c>
      <c r="D992" s="1131" t="s">
        <v>383</v>
      </c>
      <c r="E992" s="1162">
        <v>0.2</v>
      </c>
      <c r="F992" s="825">
        <f>'COMP AUX'!G321</f>
        <v>10.98</v>
      </c>
      <c r="G992" s="358">
        <f>TRUNC(E992*F992,2)</f>
        <v>2.19</v>
      </c>
    </row>
    <row r="993" spans="1:12" ht="15" customHeight="1">
      <c r="A993" s="1142"/>
      <c r="B993" s="1174"/>
      <c r="C993" s="293" t="s">
        <v>87</v>
      </c>
      <c r="D993" s="1131"/>
      <c r="E993" s="1163"/>
      <c r="F993" s="825">
        <f>'COMP AUX'!G322</f>
        <v>4.4000000000000004</v>
      </c>
      <c r="G993" s="312">
        <f>TRUNC(E992*F993,2)</f>
        <v>0.88</v>
      </c>
    </row>
    <row r="994" spans="1:12" ht="15" customHeight="1">
      <c r="A994" s="1141">
        <v>88267</v>
      </c>
      <c r="B994" s="1173" t="s">
        <v>2859</v>
      </c>
      <c r="C994" s="293" t="s">
        <v>104</v>
      </c>
      <c r="D994" s="1153" t="s">
        <v>383</v>
      </c>
      <c r="E994" s="1162">
        <v>0.2</v>
      </c>
      <c r="F994" s="825">
        <f>'COMP AUX'!G338</f>
        <v>15.5</v>
      </c>
      <c r="G994" s="312">
        <f>TRUNC(E994:E994*F994,2)</f>
        <v>3.1</v>
      </c>
    </row>
    <row r="995" spans="1:12" ht="15" customHeight="1">
      <c r="A995" s="1142"/>
      <c r="B995" s="1174"/>
      <c r="C995" s="293" t="s">
        <v>87</v>
      </c>
      <c r="D995" s="1154"/>
      <c r="E995" s="1163"/>
      <c r="F995" s="825">
        <f>'COMP AUX'!G339</f>
        <v>4.4000000000000004</v>
      </c>
      <c r="G995" s="312">
        <f>TRUNC(E994:E994*F995,2)</f>
        <v>0.88</v>
      </c>
    </row>
    <row r="996" spans="1:12" ht="15" customHeight="1">
      <c r="A996" s="903">
        <v>3148</v>
      </c>
      <c r="B996" s="887" t="s">
        <v>2388</v>
      </c>
      <c r="C996" s="293" t="s">
        <v>87</v>
      </c>
      <c r="D996" s="888" t="s">
        <v>1553</v>
      </c>
      <c r="E996" s="896">
        <v>1.2999999999999999E-2</v>
      </c>
      <c r="F996" s="825">
        <v>15.63</v>
      </c>
      <c r="G996" s="312">
        <f>TRUNC(E996*F996,2)</f>
        <v>0.2</v>
      </c>
      <c r="K996" s="639">
        <f>1.2*2.5</f>
        <v>3</v>
      </c>
      <c r="L996" s="122">
        <v>405.9</v>
      </c>
    </row>
    <row r="997" spans="1:12" ht="26.25" customHeight="1">
      <c r="A997" s="903">
        <v>88248</v>
      </c>
      <c r="B997" s="887" t="s">
        <v>2860</v>
      </c>
      <c r="C997" s="293" t="s">
        <v>87</v>
      </c>
      <c r="D997" s="888" t="s">
        <v>1452</v>
      </c>
      <c r="E997" s="896">
        <v>1</v>
      </c>
      <c r="F997" s="825">
        <v>20.079999999999998</v>
      </c>
      <c r="G997" s="312">
        <f>TRUNC(E997*F997,2)</f>
        <v>20.079999999999998</v>
      </c>
      <c r="K997" s="122">
        <v>1</v>
      </c>
      <c r="L997" s="122">
        <f>L996/K996</f>
        <v>135.29999999999998</v>
      </c>
    </row>
    <row r="998" spans="1:12" ht="15" customHeight="1">
      <c r="F998" s="360" t="s">
        <v>90</v>
      </c>
      <c r="G998" s="322">
        <f>SUM(G992,G994)</f>
        <v>5.29</v>
      </c>
    </row>
    <row r="999" spans="1:12" ht="15" customHeight="1">
      <c r="F999" s="301" t="s">
        <v>92</v>
      </c>
      <c r="G999" s="312">
        <f>SUM(G993,G995,G996,G997)</f>
        <v>22.04</v>
      </c>
    </row>
    <row r="1000" spans="1:12" ht="15" customHeight="1">
      <c r="A1000" s="122" t="s">
        <v>94</v>
      </c>
      <c r="F1000" s="301" t="s">
        <v>93</v>
      </c>
      <c r="G1000" s="820">
        <f>SUM(G998:G999)</f>
        <v>27.33</v>
      </c>
    </row>
    <row r="1001" spans="1:12" ht="15" customHeight="1">
      <c r="A1001" s="300" t="s">
        <v>95</v>
      </c>
      <c r="B1001" s="385">
        <f>G1000</f>
        <v>27.33</v>
      </c>
    </row>
    <row r="1002" spans="1:12" ht="15" customHeight="1">
      <c r="A1002" s="382" t="s">
        <v>2272</v>
      </c>
      <c r="B1002" s="381"/>
    </row>
    <row r="1003" spans="1:12" ht="15" customHeight="1">
      <c r="A1003" s="443" t="s">
        <v>2311</v>
      </c>
      <c r="B1003" s="381">
        <f>(B1001+B1002)*0.245</f>
        <v>6.6958499999999992</v>
      </c>
    </row>
    <row r="1004" spans="1:12" ht="15" customHeight="1">
      <c r="A1004" s="300" t="s">
        <v>98</v>
      </c>
      <c r="B1004" s="386">
        <f>SUM(B1001:B1003)</f>
        <v>34.025849999999998</v>
      </c>
      <c r="H1004" s="394"/>
      <c r="I1004" s="122" t="s">
        <v>2277</v>
      </c>
    </row>
    <row r="1005" spans="1:12" ht="11.25" customHeight="1">
      <c r="A1005" s="362"/>
      <c r="B1005" s="363"/>
      <c r="C1005" s="364"/>
      <c r="D1005" s="362"/>
      <c r="E1005" s="363"/>
      <c r="F1005" s="363"/>
      <c r="G1005" s="363"/>
      <c r="H1005" s="362"/>
    </row>
    <row r="1006" spans="1:12" ht="11.25" customHeight="1"/>
    <row r="1007" spans="1:12" ht="11.25" customHeight="1">
      <c r="A1007" s="826" t="s">
        <v>2709</v>
      </c>
    </row>
    <row r="1008" spans="1:12" ht="11.25" customHeight="1">
      <c r="A1008" s="879" t="s">
        <v>3076</v>
      </c>
      <c r="B1008" s="128" t="s">
        <v>3077</v>
      </c>
    </row>
    <row r="1009" spans="1:12" ht="22.5" customHeight="1">
      <c r="A1009" s="352" t="s">
        <v>1450</v>
      </c>
      <c r="B1009" s="352" t="s">
        <v>3074</v>
      </c>
      <c r="C1009" s="494" t="s">
        <v>2713</v>
      </c>
      <c r="D1009" s="352"/>
      <c r="E1009" s="122"/>
      <c r="F1009" s="122"/>
      <c r="G1009" s="353"/>
    </row>
    <row r="1010" spans="1:12" ht="26.25" customHeight="1">
      <c r="A1010" s="945" t="s">
        <v>30</v>
      </c>
      <c r="B1010" s="354" t="s">
        <v>19</v>
      </c>
      <c r="C1010" s="293" t="s">
        <v>81</v>
      </c>
      <c r="D1010" s="908" t="s">
        <v>77</v>
      </c>
      <c r="E1010" s="908" t="s">
        <v>82</v>
      </c>
      <c r="F1010" s="909" t="s">
        <v>83</v>
      </c>
      <c r="G1010" s="355" t="s">
        <v>84</v>
      </c>
    </row>
    <row r="1011" spans="1:12" ht="15" customHeight="1">
      <c r="A1011" s="917" t="s">
        <v>3078</v>
      </c>
      <c r="B1011" s="911" t="s">
        <v>3075</v>
      </c>
      <c r="C1011" s="293" t="s">
        <v>104</v>
      </c>
      <c r="D1011" s="908" t="s">
        <v>383</v>
      </c>
      <c r="E1011" s="919">
        <v>0.14000000000000001</v>
      </c>
      <c r="F1011" s="825">
        <v>6.94</v>
      </c>
      <c r="G1011" s="358">
        <f>TRUNC(E1011*F1011,2)</f>
        <v>0.97</v>
      </c>
    </row>
    <row r="1012" spans="1:12" ht="15" customHeight="1">
      <c r="A1012" s="945" t="s">
        <v>3079</v>
      </c>
      <c r="B1012" s="817" t="s">
        <v>1442</v>
      </c>
      <c r="C1012" s="293" t="s">
        <v>104</v>
      </c>
      <c r="D1012" s="908" t="s">
        <v>383</v>
      </c>
      <c r="E1012" s="947">
        <v>0.14000000000000001</v>
      </c>
      <c r="F1012" s="825">
        <v>6.65</v>
      </c>
      <c r="G1012" s="312">
        <f>TRUNC(E1012:E1012*F1012,2)</f>
        <v>0.93</v>
      </c>
    </row>
    <row r="1013" spans="1:12" ht="15" customHeight="1">
      <c r="A1013" s="927" t="s">
        <v>2370</v>
      </c>
      <c r="B1013" s="912" t="s">
        <v>3080</v>
      </c>
      <c r="C1013" s="925" t="s">
        <v>87</v>
      </c>
      <c r="D1013" s="914" t="s">
        <v>391</v>
      </c>
      <c r="E1013" s="920">
        <v>1.02</v>
      </c>
      <c r="F1013" s="825">
        <v>7.77</v>
      </c>
      <c r="G1013" s="312">
        <f>TRUNC(E1013*F1013,2)</f>
        <v>7.92</v>
      </c>
      <c r="K1013" s="639">
        <f>1.2*2.5</f>
        <v>3</v>
      </c>
      <c r="L1013" s="122">
        <v>405.9</v>
      </c>
    </row>
    <row r="1014" spans="1:12" ht="15" customHeight="1">
      <c r="F1014" s="360" t="s">
        <v>90</v>
      </c>
      <c r="G1014" s="322"/>
    </row>
    <row r="1015" spans="1:12" ht="15" customHeight="1">
      <c r="F1015" s="301" t="s">
        <v>92</v>
      </c>
      <c r="G1015" s="312"/>
    </row>
    <row r="1016" spans="1:12" ht="15" customHeight="1">
      <c r="A1016" s="122" t="s">
        <v>94</v>
      </c>
      <c r="F1016" s="301" t="s">
        <v>93</v>
      </c>
      <c r="G1016" s="820">
        <f>SUM(G1011:G1013)</f>
        <v>9.82</v>
      </c>
    </row>
    <row r="1017" spans="1:12" ht="15" customHeight="1">
      <c r="A1017" s="300" t="s">
        <v>95</v>
      </c>
      <c r="B1017" s="385">
        <f>G1016</f>
        <v>9.82</v>
      </c>
    </row>
    <row r="1018" spans="1:12" ht="15" customHeight="1">
      <c r="A1018" s="382" t="s">
        <v>2272</v>
      </c>
      <c r="B1018" s="381"/>
    </row>
    <row r="1019" spans="1:12" ht="15" customHeight="1">
      <c r="A1019" s="443" t="s">
        <v>2311</v>
      </c>
      <c r="B1019" s="381">
        <f>(B1017+B1018)*0.245</f>
        <v>2.4058999999999999</v>
      </c>
    </row>
    <row r="1020" spans="1:12" ht="15" customHeight="1">
      <c r="A1020" s="300" t="s">
        <v>98</v>
      </c>
      <c r="B1020" s="386">
        <f>SUM(B1017:B1019)</f>
        <v>12.225899999999999</v>
      </c>
      <c r="H1020" s="394"/>
      <c r="I1020" s="122" t="s">
        <v>2277</v>
      </c>
    </row>
    <row r="1021" spans="1:12" ht="11.25" customHeight="1">
      <c r="A1021" s="362"/>
      <c r="B1021" s="363"/>
      <c r="C1021" s="364"/>
      <c r="D1021" s="362"/>
      <c r="E1021" s="363"/>
      <c r="F1021" s="363"/>
      <c r="G1021" s="363"/>
      <c r="H1021" s="362"/>
    </row>
    <row r="1022" spans="1:12" ht="11.25" customHeight="1"/>
    <row r="1023" spans="1:12" ht="11.25" customHeight="1">
      <c r="A1023" s="826" t="s">
        <v>2709</v>
      </c>
    </row>
    <row r="1024" spans="1:12" ht="11.25" customHeight="1">
      <c r="A1024" s="879" t="s">
        <v>3084</v>
      </c>
      <c r="B1024" s="128" t="s">
        <v>2544</v>
      </c>
    </row>
    <row r="1025" spans="1:12" ht="22.5" customHeight="1">
      <c r="A1025" s="352" t="s">
        <v>1450</v>
      </c>
      <c r="B1025" s="352" t="s">
        <v>3074</v>
      </c>
      <c r="C1025" s="494" t="s">
        <v>2713</v>
      </c>
      <c r="D1025" s="352"/>
      <c r="E1025" s="122"/>
      <c r="F1025" s="122"/>
      <c r="G1025" s="353"/>
    </row>
    <row r="1026" spans="1:12" ht="26.25" customHeight="1">
      <c r="A1026" s="945" t="s">
        <v>30</v>
      </c>
      <c r="B1026" s="354" t="s">
        <v>19</v>
      </c>
      <c r="C1026" s="293" t="s">
        <v>81</v>
      </c>
      <c r="D1026" s="908" t="s">
        <v>77</v>
      </c>
      <c r="E1026" s="908" t="s">
        <v>82</v>
      </c>
      <c r="F1026" s="909" t="s">
        <v>83</v>
      </c>
      <c r="G1026" s="355" t="s">
        <v>84</v>
      </c>
    </row>
    <row r="1027" spans="1:12" ht="15" customHeight="1">
      <c r="A1027" s="917" t="s">
        <v>3078</v>
      </c>
      <c r="B1027" s="911" t="s">
        <v>3075</v>
      </c>
      <c r="C1027" s="293" t="s">
        <v>104</v>
      </c>
      <c r="D1027" s="908" t="s">
        <v>383</v>
      </c>
      <c r="E1027" s="919">
        <v>0.16</v>
      </c>
      <c r="F1027" s="825">
        <v>6.94</v>
      </c>
      <c r="G1027" s="358">
        <f>TRUNC(E1027*F1027,2)</f>
        <v>1.1100000000000001</v>
      </c>
    </row>
    <row r="1028" spans="1:12" ht="15" customHeight="1">
      <c r="A1028" s="945" t="s">
        <v>3079</v>
      </c>
      <c r="B1028" s="817" t="s">
        <v>1442</v>
      </c>
      <c r="C1028" s="293" t="s">
        <v>104</v>
      </c>
      <c r="D1028" s="908" t="s">
        <v>383</v>
      </c>
      <c r="E1028" s="947">
        <v>0.16</v>
      </c>
      <c r="F1028" s="825">
        <v>6.65</v>
      </c>
      <c r="G1028" s="312">
        <f>TRUNC(E1028:E1028*F1028,2)</f>
        <v>1.06</v>
      </c>
    </row>
    <row r="1029" spans="1:12" ht="21.75" customHeight="1">
      <c r="A1029" s="927">
        <v>1004</v>
      </c>
      <c r="B1029" s="912" t="s">
        <v>3085</v>
      </c>
      <c r="C1029" s="925" t="s">
        <v>87</v>
      </c>
      <c r="D1029" s="914" t="s">
        <v>391</v>
      </c>
      <c r="E1029" s="920">
        <v>1.02</v>
      </c>
      <c r="F1029" s="825">
        <v>9.33</v>
      </c>
      <c r="G1029" s="312">
        <f>TRUNC(E1029*F1029,2)</f>
        <v>9.51</v>
      </c>
      <c r="K1029" s="639">
        <f>1.2*2.5</f>
        <v>3</v>
      </c>
      <c r="L1029" s="122">
        <v>405.9</v>
      </c>
    </row>
    <row r="1030" spans="1:12" ht="15" customHeight="1">
      <c r="F1030" s="360" t="s">
        <v>90</v>
      </c>
      <c r="G1030" s="322"/>
    </row>
    <row r="1031" spans="1:12" ht="15" customHeight="1">
      <c r="F1031" s="301" t="s">
        <v>92</v>
      </c>
      <c r="G1031" s="312"/>
    </row>
    <row r="1032" spans="1:12" ht="15" customHeight="1">
      <c r="A1032" s="122" t="s">
        <v>94</v>
      </c>
      <c r="F1032" s="301" t="s">
        <v>93</v>
      </c>
      <c r="G1032" s="820">
        <f>SUM(G1027:G1029)</f>
        <v>11.68</v>
      </c>
    </row>
    <row r="1033" spans="1:12" ht="15" customHeight="1">
      <c r="A1033" s="300" t="s">
        <v>95</v>
      </c>
      <c r="B1033" s="385">
        <f>G1032</f>
        <v>11.68</v>
      </c>
    </row>
    <row r="1034" spans="1:12" ht="15" customHeight="1">
      <c r="A1034" s="382" t="s">
        <v>2272</v>
      </c>
      <c r="B1034" s="381"/>
    </row>
    <row r="1035" spans="1:12" ht="15" customHeight="1">
      <c r="A1035" s="443" t="s">
        <v>2311</v>
      </c>
      <c r="B1035" s="381">
        <f>(B1033+B1034)*0.245</f>
        <v>2.8615999999999997</v>
      </c>
    </row>
    <row r="1036" spans="1:12" ht="15" customHeight="1">
      <c r="A1036" s="300" t="s">
        <v>98</v>
      </c>
      <c r="B1036" s="386">
        <f>SUM(B1033:B1035)</f>
        <v>14.541599999999999</v>
      </c>
      <c r="H1036" s="394"/>
      <c r="I1036" s="122" t="s">
        <v>2277</v>
      </c>
    </row>
    <row r="1037" spans="1:12" ht="11.25" customHeight="1">
      <c r="A1037" s="362"/>
      <c r="B1037" s="363"/>
      <c r="C1037" s="364"/>
      <c r="D1037" s="362"/>
      <c r="E1037" s="363"/>
      <c r="F1037" s="363"/>
      <c r="G1037" s="363"/>
      <c r="H1037" s="362"/>
    </row>
    <row r="1038" spans="1:12" ht="11.25" customHeight="1"/>
    <row r="1039" spans="1:12" ht="11.25" customHeight="1">
      <c r="A1039" s="826" t="s">
        <v>2709</v>
      </c>
    </row>
    <row r="1040" spans="1:12" ht="11.25" customHeight="1">
      <c r="A1040" s="148" t="s">
        <v>2862</v>
      </c>
    </row>
    <row r="1041" spans="1:7" ht="35.25" customHeight="1">
      <c r="A1041" s="352" t="s">
        <v>1450</v>
      </c>
      <c r="B1041" s="965" t="s">
        <v>2863</v>
      </c>
      <c r="C1041" s="494" t="s">
        <v>2713</v>
      </c>
      <c r="D1041" s="352"/>
      <c r="E1041" s="122"/>
      <c r="F1041" s="122"/>
      <c r="G1041" s="353"/>
    </row>
    <row r="1042" spans="1:7" ht="26.25" customHeight="1">
      <c r="A1042" s="897" t="s">
        <v>30</v>
      </c>
      <c r="B1042" s="354" t="s">
        <v>19</v>
      </c>
      <c r="C1042" s="293" t="s">
        <v>81</v>
      </c>
      <c r="D1042" s="892" t="s">
        <v>77</v>
      </c>
      <c r="E1042" s="892" t="s">
        <v>82</v>
      </c>
      <c r="F1042" s="890" t="s">
        <v>83</v>
      </c>
      <c r="G1042" s="355" t="s">
        <v>84</v>
      </c>
    </row>
    <row r="1043" spans="1:7" ht="15" customHeight="1">
      <c r="A1043" s="1141">
        <v>88248</v>
      </c>
      <c r="B1043" s="1173" t="s">
        <v>307</v>
      </c>
      <c r="C1043" s="293" t="s">
        <v>104</v>
      </c>
      <c r="D1043" s="1131" t="s">
        <v>383</v>
      </c>
      <c r="E1043" s="1276">
        <v>0.1</v>
      </c>
      <c r="F1043" s="825">
        <f>'COMP AUX'!G321</f>
        <v>10.98</v>
      </c>
      <c r="G1043" s="358">
        <f>TRUNC(E1043*F1043,2)</f>
        <v>1.0900000000000001</v>
      </c>
    </row>
    <row r="1044" spans="1:7" ht="15" customHeight="1">
      <c r="A1044" s="1142"/>
      <c r="B1044" s="1174"/>
      <c r="C1044" s="293" t="s">
        <v>87</v>
      </c>
      <c r="D1044" s="1131"/>
      <c r="E1044" s="1277"/>
      <c r="F1044" s="825">
        <f>'COMP AUX'!G322</f>
        <v>4.4000000000000004</v>
      </c>
      <c r="G1044" s="312">
        <f>TRUNC(E1043*F1044,2)</f>
        <v>0.44</v>
      </c>
    </row>
    <row r="1045" spans="1:7" ht="15" customHeight="1">
      <c r="A1045" s="1141">
        <v>88267</v>
      </c>
      <c r="B1045" s="1173" t="s">
        <v>2859</v>
      </c>
      <c r="C1045" s="293" t="s">
        <v>104</v>
      </c>
      <c r="D1045" s="1153" t="s">
        <v>383</v>
      </c>
      <c r="E1045" s="1276">
        <v>0.1</v>
      </c>
      <c r="F1045" s="825">
        <f>'COMP AUX'!G338</f>
        <v>15.5</v>
      </c>
      <c r="G1045" s="312">
        <f>TRUNC(E1045:E1045*F1045,2)</f>
        <v>1.55</v>
      </c>
    </row>
    <row r="1046" spans="1:7" ht="15" customHeight="1">
      <c r="A1046" s="1142"/>
      <c r="B1046" s="1174"/>
      <c r="C1046" s="293" t="s">
        <v>87</v>
      </c>
      <c r="D1046" s="1154"/>
      <c r="E1046" s="1277"/>
      <c r="F1046" s="825">
        <f>'COMP AUX'!G339</f>
        <v>4.4000000000000004</v>
      </c>
      <c r="G1046" s="312">
        <f>TRUNC(E1045:E1045*F1046,2)</f>
        <v>0.44</v>
      </c>
    </row>
    <row r="1047" spans="1:7" ht="25.5" customHeight="1">
      <c r="A1047" s="903">
        <v>65</v>
      </c>
      <c r="B1047" s="887" t="s">
        <v>2861</v>
      </c>
      <c r="C1047" s="293" t="s">
        <v>87</v>
      </c>
      <c r="D1047" s="909" t="s">
        <v>2713</v>
      </c>
      <c r="E1047" s="893">
        <v>1</v>
      </c>
      <c r="F1047" s="825">
        <v>0.67</v>
      </c>
      <c r="G1047" s="312">
        <f>TRUNC(E1047*F1047,2)</f>
        <v>0.67</v>
      </c>
    </row>
    <row r="1048" spans="1:7" ht="36" customHeight="1">
      <c r="A1048" s="903">
        <v>122</v>
      </c>
      <c r="B1048" s="887" t="s">
        <v>294</v>
      </c>
      <c r="C1048" s="293" t="s">
        <v>87</v>
      </c>
      <c r="D1048" s="888" t="s">
        <v>1319</v>
      </c>
      <c r="E1048" s="893">
        <v>7.0000000000000001E-3</v>
      </c>
      <c r="F1048" s="825">
        <v>82.47</v>
      </c>
      <c r="G1048" s="312">
        <f>TRUNC(E1048*F1048,2)</f>
        <v>0.56999999999999995</v>
      </c>
    </row>
    <row r="1049" spans="1:7" ht="39" customHeight="1">
      <c r="A1049" s="354">
        <v>20083</v>
      </c>
      <c r="B1049" s="963" t="s">
        <v>299</v>
      </c>
      <c r="C1049" s="293" t="s">
        <v>87</v>
      </c>
      <c r="D1049" s="909" t="s">
        <v>2713</v>
      </c>
      <c r="E1049" s="953">
        <v>8.0000000000000002E-3</v>
      </c>
      <c r="F1049" s="825">
        <v>71.62</v>
      </c>
      <c r="G1049" s="312">
        <f>TRUNC(E1049*F1049,2)</f>
        <v>0.56999999999999995</v>
      </c>
    </row>
    <row r="1050" spans="1:7" ht="39" customHeight="1">
      <c r="A1050" s="897">
        <v>38383</v>
      </c>
      <c r="B1050" s="964" t="s">
        <v>1665</v>
      </c>
      <c r="C1050" s="293" t="s">
        <v>87</v>
      </c>
      <c r="D1050" s="293" t="s">
        <v>2713</v>
      </c>
      <c r="E1050" s="825">
        <v>0.05</v>
      </c>
      <c r="F1050" s="825">
        <v>1.99</v>
      </c>
      <c r="G1050" s="312">
        <f>TRUNC(E1050*F1050,2)</f>
        <v>0.09</v>
      </c>
    </row>
    <row r="1051" spans="1:7" ht="15" customHeight="1">
      <c r="F1051" s="360" t="s">
        <v>90</v>
      </c>
      <c r="G1051" s="322">
        <f>SUM(G1043,G1045)</f>
        <v>2.64</v>
      </c>
    </row>
    <row r="1052" spans="1:7" ht="15" customHeight="1">
      <c r="F1052" s="301" t="s">
        <v>92</v>
      </c>
      <c r="G1052" s="312">
        <f>SUM(G1044,G1046,G1047,G1048,G1049,G1050)</f>
        <v>2.78</v>
      </c>
    </row>
    <row r="1053" spans="1:7" ht="15" customHeight="1">
      <c r="A1053" s="122" t="s">
        <v>94</v>
      </c>
      <c r="F1053" s="301" t="s">
        <v>93</v>
      </c>
      <c r="G1053" s="820">
        <f>SUM(G1051:G1052)</f>
        <v>5.42</v>
      </c>
    </row>
    <row r="1054" spans="1:7" ht="15" customHeight="1">
      <c r="A1054" s="300" t="s">
        <v>95</v>
      </c>
      <c r="B1054" s="385">
        <f>G1053</f>
        <v>5.42</v>
      </c>
    </row>
    <row r="1055" spans="1:7" ht="15" customHeight="1">
      <c r="A1055" s="382" t="s">
        <v>2272</v>
      </c>
      <c r="B1055" s="381"/>
    </row>
    <row r="1056" spans="1:7" ht="15" customHeight="1">
      <c r="A1056" s="443" t="s">
        <v>2311</v>
      </c>
      <c r="B1056" s="381">
        <f>(B1054+B1055)*0.245</f>
        <v>1.3278999999999999</v>
      </c>
    </row>
    <row r="1057" spans="1:12" ht="15" customHeight="1">
      <c r="A1057" s="300" t="s">
        <v>98</v>
      </c>
      <c r="B1057" s="386">
        <f>SUM(B1054:B1056)</f>
        <v>6.7478999999999996</v>
      </c>
      <c r="H1057" s="394"/>
      <c r="I1057" s="122" t="s">
        <v>2277</v>
      </c>
    </row>
    <row r="1058" spans="1:12" ht="11.25" customHeight="1">
      <c r="A1058" s="362"/>
      <c r="B1058" s="363"/>
      <c r="C1058" s="364"/>
      <c r="D1058" s="362"/>
      <c r="E1058" s="363"/>
      <c r="F1058" s="363"/>
      <c r="G1058" s="363"/>
      <c r="H1058" s="362"/>
    </row>
    <row r="1059" spans="1:12" ht="11.25" customHeight="1"/>
    <row r="1060" spans="1:12" ht="11.25" customHeight="1">
      <c r="A1060" s="826" t="s">
        <v>2709</v>
      </c>
    </row>
    <row r="1061" spans="1:12" ht="11.25" customHeight="1">
      <c r="A1061" s="148" t="s">
        <v>2878</v>
      </c>
    </row>
    <row r="1062" spans="1:12" ht="22.5" customHeight="1">
      <c r="A1062" s="352" t="s">
        <v>1450</v>
      </c>
      <c r="B1062" s="352" t="s">
        <v>2879</v>
      </c>
      <c r="C1062" s="494" t="s">
        <v>2713</v>
      </c>
      <c r="D1062" s="352"/>
      <c r="E1062" s="122"/>
      <c r="F1062" s="122"/>
      <c r="G1062" s="353"/>
    </row>
    <row r="1063" spans="1:12" ht="26.25" customHeight="1">
      <c r="A1063" s="945" t="s">
        <v>30</v>
      </c>
      <c r="B1063" s="354" t="s">
        <v>19</v>
      </c>
      <c r="C1063" s="293" t="s">
        <v>81</v>
      </c>
      <c r="D1063" s="908" t="s">
        <v>77</v>
      </c>
      <c r="E1063" s="908" t="s">
        <v>82</v>
      </c>
      <c r="F1063" s="909" t="s">
        <v>83</v>
      </c>
      <c r="G1063" s="355" t="s">
        <v>84</v>
      </c>
    </row>
    <row r="1064" spans="1:12" ht="15" customHeight="1">
      <c r="A1064" s="1141">
        <v>88248</v>
      </c>
      <c r="B1064" s="1173" t="s">
        <v>307</v>
      </c>
      <c r="C1064" s="293" t="s">
        <v>104</v>
      </c>
      <c r="D1064" s="1131" t="s">
        <v>383</v>
      </c>
      <c r="E1064" s="1162">
        <v>0.23</v>
      </c>
      <c r="F1064" s="825">
        <f>'COMP AUX'!G321</f>
        <v>10.98</v>
      </c>
      <c r="G1064" s="358">
        <f>TRUNC(E1064*F1064,2)</f>
        <v>2.52</v>
      </c>
    </row>
    <row r="1065" spans="1:12" ht="15" customHeight="1">
      <c r="A1065" s="1142"/>
      <c r="B1065" s="1174"/>
      <c r="C1065" s="293" t="s">
        <v>87</v>
      </c>
      <c r="D1065" s="1131"/>
      <c r="E1065" s="1163"/>
      <c r="F1065" s="825">
        <f>'COMP AUX'!G322</f>
        <v>4.4000000000000004</v>
      </c>
      <c r="G1065" s="312">
        <f>TRUNC(E1064*F1065,2)</f>
        <v>1.01</v>
      </c>
    </row>
    <row r="1066" spans="1:12" ht="15" customHeight="1">
      <c r="A1066" s="1141">
        <v>88267</v>
      </c>
      <c r="B1066" s="1173" t="s">
        <v>2859</v>
      </c>
      <c r="C1066" s="293" t="s">
        <v>104</v>
      </c>
      <c r="D1066" s="1153" t="s">
        <v>383</v>
      </c>
      <c r="E1066" s="1162">
        <v>0.3</v>
      </c>
      <c r="F1066" s="825">
        <f>'COMP AUX'!G338</f>
        <v>15.5</v>
      </c>
      <c r="G1066" s="312">
        <f>TRUNC(E1066:E1066*F1066,2)</f>
        <v>4.6500000000000004</v>
      </c>
    </row>
    <row r="1067" spans="1:12" ht="15" customHeight="1">
      <c r="A1067" s="1142"/>
      <c r="B1067" s="1174"/>
      <c r="C1067" s="293" t="s">
        <v>87</v>
      </c>
      <c r="D1067" s="1154"/>
      <c r="E1067" s="1163"/>
      <c r="F1067" s="825">
        <f>'COMP AUX'!G339</f>
        <v>4.4000000000000004</v>
      </c>
      <c r="G1067" s="312">
        <f>TRUNC(E1066:E1066*F1067,2)</f>
        <v>1.32</v>
      </c>
    </row>
    <row r="1068" spans="1:12" ht="15" customHeight="1">
      <c r="A1068" s="927">
        <v>3148</v>
      </c>
      <c r="B1068" s="912" t="s">
        <v>2388</v>
      </c>
      <c r="C1068" s="293" t="s">
        <v>87</v>
      </c>
      <c r="D1068" s="914" t="s">
        <v>1553</v>
      </c>
      <c r="E1068" s="920">
        <v>1.2999999999999999E-2</v>
      </c>
      <c r="F1068" s="825">
        <v>15.63</v>
      </c>
      <c r="G1068" s="312">
        <f>TRUNC(E1068*F1068,2)</f>
        <v>0.2</v>
      </c>
      <c r="K1068" s="639">
        <f>1.2*2.5</f>
        <v>3</v>
      </c>
      <c r="L1068" s="122">
        <v>405.9</v>
      </c>
    </row>
    <row r="1069" spans="1:12" ht="26.25" customHeight="1">
      <c r="A1069" s="927">
        <v>6024</v>
      </c>
      <c r="B1069" s="912" t="s">
        <v>2880</v>
      </c>
      <c r="C1069" s="293" t="s">
        <v>87</v>
      </c>
      <c r="D1069" s="914" t="s">
        <v>1452</v>
      </c>
      <c r="E1069" s="920">
        <v>1</v>
      </c>
      <c r="F1069" s="825">
        <v>46.21</v>
      </c>
      <c r="G1069" s="312">
        <f>TRUNC(E1069*F1069,2)</f>
        <v>46.21</v>
      </c>
      <c r="K1069" s="122">
        <v>1</v>
      </c>
      <c r="L1069" s="122">
        <f>L1068/K1068</f>
        <v>135.29999999999998</v>
      </c>
    </row>
    <row r="1070" spans="1:12" ht="15" customHeight="1">
      <c r="F1070" s="360" t="s">
        <v>90</v>
      </c>
      <c r="G1070" s="322">
        <f>SUM(G1064,G1066)</f>
        <v>7.17</v>
      </c>
    </row>
    <row r="1071" spans="1:12" ht="15" customHeight="1">
      <c r="F1071" s="301" t="s">
        <v>92</v>
      </c>
      <c r="G1071" s="312">
        <f>SUM(G1065,G1067,G1068,G1069)</f>
        <v>48.74</v>
      </c>
    </row>
    <row r="1072" spans="1:12" ht="15" customHeight="1">
      <c r="A1072" s="122" t="s">
        <v>94</v>
      </c>
      <c r="F1072" s="301" t="s">
        <v>93</v>
      </c>
      <c r="G1072" s="820">
        <f>SUM(G1070:G1071)</f>
        <v>55.910000000000004</v>
      </c>
    </row>
    <row r="1073" spans="1:12" ht="15" customHeight="1">
      <c r="A1073" s="300" t="s">
        <v>95</v>
      </c>
      <c r="B1073" s="385">
        <f>G1072</f>
        <v>55.910000000000004</v>
      </c>
    </row>
    <row r="1074" spans="1:12" ht="15" customHeight="1">
      <c r="A1074" s="382" t="s">
        <v>2272</v>
      </c>
      <c r="B1074" s="381"/>
    </row>
    <row r="1075" spans="1:12" ht="15" customHeight="1">
      <c r="A1075" s="443" t="s">
        <v>2311</v>
      </c>
      <c r="B1075" s="381">
        <f>(B1073+B1074)*0.245</f>
        <v>13.697950000000001</v>
      </c>
    </row>
    <row r="1076" spans="1:12" ht="15" customHeight="1">
      <c r="A1076" s="300" t="s">
        <v>98</v>
      </c>
      <c r="B1076" s="386">
        <f>SUM(B1073:B1075)</f>
        <v>69.607950000000002</v>
      </c>
      <c r="H1076" s="394"/>
      <c r="I1076" s="122" t="s">
        <v>2277</v>
      </c>
    </row>
    <row r="1077" spans="1:12" ht="11.25" customHeight="1">
      <c r="A1077" s="362"/>
      <c r="B1077" s="363"/>
      <c r="C1077" s="364"/>
      <c r="D1077" s="362"/>
      <c r="E1077" s="363"/>
      <c r="F1077" s="363"/>
      <c r="G1077" s="363"/>
      <c r="H1077" s="362"/>
    </row>
    <row r="1078" spans="1:12" ht="11.25" customHeight="1"/>
    <row r="1079" spans="1:12" ht="11.25" customHeight="1">
      <c r="A1079" s="826" t="s">
        <v>2709</v>
      </c>
    </row>
    <row r="1080" spans="1:12" ht="11.25" customHeight="1">
      <c r="A1080" s="148" t="s">
        <v>2992</v>
      </c>
    </row>
    <row r="1081" spans="1:12" ht="22.5" customHeight="1">
      <c r="A1081" s="352" t="s">
        <v>1450</v>
      </c>
      <c r="B1081" s="352" t="s">
        <v>2993</v>
      </c>
      <c r="C1081" s="494" t="s">
        <v>2713</v>
      </c>
      <c r="D1081" s="352"/>
      <c r="E1081" s="122"/>
      <c r="F1081" s="122"/>
      <c r="G1081" s="353"/>
    </row>
    <row r="1082" spans="1:12" ht="26.25" customHeight="1">
      <c r="A1082" s="945" t="s">
        <v>30</v>
      </c>
      <c r="B1082" s="354" t="s">
        <v>19</v>
      </c>
      <c r="C1082" s="293" t="s">
        <v>81</v>
      </c>
      <c r="D1082" s="908" t="s">
        <v>77</v>
      </c>
      <c r="E1082" s="908" t="s">
        <v>82</v>
      </c>
      <c r="F1082" s="909" t="s">
        <v>83</v>
      </c>
      <c r="G1082" s="355" t="s">
        <v>84</v>
      </c>
    </row>
    <row r="1083" spans="1:12" ht="15" customHeight="1">
      <c r="A1083" s="1141">
        <v>88248</v>
      </c>
      <c r="B1083" s="1173" t="s">
        <v>307</v>
      </c>
      <c r="C1083" s="293" t="s">
        <v>104</v>
      </c>
      <c r="D1083" s="1131" t="s">
        <v>383</v>
      </c>
      <c r="E1083" s="1162">
        <v>0.23</v>
      </c>
      <c r="F1083" s="825">
        <f>'COMP AUX'!G321</f>
        <v>10.98</v>
      </c>
      <c r="G1083" s="358">
        <f>TRUNC(E1083*F1083,2)</f>
        <v>2.52</v>
      </c>
    </row>
    <row r="1084" spans="1:12" ht="15" customHeight="1">
      <c r="A1084" s="1142"/>
      <c r="B1084" s="1174"/>
      <c r="C1084" s="293" t="s">
        <v>87</v>
      </c>
      <c r="D1084" s="1131"/>
      <c r="E1084" s="1163"/>
      <c r="F1084" s="825">
        <f>'COMP AUX'!G322</f>
        <v>4.4000000000000004</v>
      </c>
      <c r="G1084" s="312">
        <f>TRUNC(E1083*F1084,2)</f>
        <v>1.01</v>
      </c>
    </row>
    <row r="1085" spans="1:12" ht="15" customHeight="1">
      <c r="A1085" s="1141">
        <v>88267</v>
      </c>
      <c r="B1085" s="1173" t="s">
        <v>2859</v>
      </c>
      <c r="C1085" s="293" t="s">
        <v>104</v>
      </c>
      <c r="D1085" s="1153" t="s">
        <v>383</v>
      </c>
      <c r="E1085" s="1162">
        <v>0.3</v>
      </c>
      <c r="F1085" s="825">
        <f>'COMP AUX'!G338</f>
        <v>15.5</v>
      </c>
      <c r="G1085" s="312">
        <f>TRUNC(E1085:E1085*F1085,2)</f>
        <v>4.6500000000000004</v>
      </c>
    </row>
    <row r="1086" spans="1:12" ht="15" customHeight="1">
      <c r="A1086" s="1142"/>
      <c r="B1086" s="1174"/>
      <c r="C1086" s="293" t="s">
        <v>87</v>
      </c>
      <c r="D1086" s="1154"/>
      <c r="E1086" s="1163"/>
      <c r="F1086" s="825">
        <f>'COMP AUX'!G339</f>
        <v>4.4000000000000004</v>
      </c>
      <c r="G1086" s="312">
        <f>TRUNC(E1085:E1085*F1086,2)</f>
        <v>1.32</v>
      </c>
    </row>
    <row r="1087" spans="1:12" ht="15" customHeight="1">
      <c r="A1087" s="927">
        <v>3148</v>
      </c>
      <c r="B1087" s="912" t="s">
        <v>2388</v>
      </c>
      <c r="C1087" s="293" t="s">
        <v>87</v>
      </c>
      <c r="D1087" s="914" t="s">
        <v>1553</v>
      </c>
      <c r="E1087" s="920">
        <v>1.2999999999999999E-2</v>
      </c>
      <c r="F1087" s="825">
        <v>15.63</v>
      </c>
      <c r="G1087" s="312">
        <f>TRUNC(E1087*F1087,2)</f>
        <v>0.2</v>
      </c>
      <c r="K1087" s="639">
        <f>1.2*2.5</f>
        <v>3</v>
      </c>
      <c r="L1087" s="122">
        <v>405.9</v>
      </c>
    </row>
    <row r="1088" spans="1:12" ht="26.25" customHeight="1">
      <c r="A1088" s="927">
        <v>6021</v>
      </c>
      <c r="B1088" s="912" t="s">
        <v>2917</v>
      </c>
      <c r="C1088" s="293" t="s">
        <v>87</v>
      </c>
      <c r="D1088" s="914" t="s">
        <v>1452</v>
      </c>
      <c r="E1088" s="920">
        <v>1</v>
      </c>
      <c r="F1088" s="825">
        <v>44.71</v>
      </c>
      <c r="G1088" s="312">
        <f>TRUNC(E1088*F1088,2)</f>
        <v>44.71</v>
      </c>
      <c r="K1088" s="122">
        <v>1</v>
      </c>
      <c r="L1088" s="122">
        <f>L1087/K1087</f>
        <v>135.29999999999998</v>
      </c>
    </row>
    <row r="1089" spans="1:9" ht="15" customHeight="1">
      <c r="F1089" s="360" t="s">
        <v>90</v>
      </c>
      <c r="G1089" s="322">
        <f>SUM(G1083,G1085)</f>
        <v>7.17</v>
      </c>
    </row>
    <row r="1090" spans="1:9" ht="15" customHeight="1">
      <c r="F1090" s="301" t="s">
        <v>92</v>
      </c>
      <c r="G1090" s="312">
        <f>SUM(G1084,G1086,G1087,G1088)</f>
        <v>47.24</v>
      </c>
    </row>
    <row r="1091" spans="1:9" ht="15" customHeight="1">
      <c r="A1091" s="122" t="s">
        <v>94</v>
      </c>
      <c r="F1091" s="301" t="s">
        <v>93</v>
      </c>
      <c r="G1091" s="820">
        <f>SUM(G1089:G1090)</f>
        <v>54.410000000000004</v>
      </c>
    </row>
    <row r="1092" spans="1:9" ht="15" customHeight="1">
      <c r="A1092" s="300" t="s">
        <v>95</v>
      </c>
      <c r="B1092" s="385">
        <f>G1091</f>
        <v>54.410000000000004</v>
      </c>
    </row>
    <row r="1093" spans="1:9" ht="15" customHeight="1">
      <c r="A1093" s="382" t="s">
        <v>2272</v>
      </c>
      <c r="B1093" s="381"/>
    </row>
    <row r="1094" spans="1:9" ht="15" customHeight="1">
      <c r="A1094" s="443" t="s">
        <v>2311</v>
      </c>
      <c r="B1094" s="381">
        <f>(B1092+B1093)*0.245</f>
        <v>13.330450000000001</v>
      </c>
    </row>
    <row r="1095" spans="1:9" ht="15" customHeight="1">
      <c r="A1095" s="300" t="s">
        <v>98</v>
      </c>
      <c r="B1095" s="386">
        <f>SUM(B1092:B1094)</f>
        <v>67.74045000000001</v>
      </c>
      <c r="H1095" s="394"/>
      <c r="I1095" s="122" t="s">
        <v>2277</v>
      </c>
    </row>
    <row r="1096" spans="1:9" ht="11.25" customHeight="1">
      <c r="A1096" s="362"/>
      <c r="B1096" s="363"/>
      <c r="C1096" s="364"/>
      <c r="D1096" s="362"/>
      <c r="E1096" s="363"/>
      <c r="F1096" s="363"/>
      <c r="G1096" s="363"/>
      <c r="H1096" s="362"/>
    </row>
    <row r="1097" spans="1:9" ht="11.25" customHeight="1"/>
    <row r="1098" spans="1:9" ht="11.25" customHeight="1">
      <c r="A1098" s="826" t="s">
        <v>2709</v>
      </c>
    </row>
    <row r="1099" spans="1:9" ht="11.25" customHeight="1">
      <c r="A1099" s="148" t="s">
        <v>2876</v>
      </c>
    </row>
    <row r="1100" spans="1:9" ht="35.25" customHeight="1">
      <c r="A1100" s="352" t="s">
        <v>1450</v>
      </c>
      <c r="B1100" s="965" t="s">
        <v>2877</v>
      </c>
      <c r="C1100" s="494" t="s">
        <v>2713</v>
      </c>
      <c r="D1100" s="352"/>
      <c r="E1100" s="122"/>
      <c r="F1100" s="122"/>
      <c r="G1100" s="353"/>
    </row>
    <row r="1101" spans="1:9" ht="26.25" customHeight="1">
      <c r="A1101" s="945" t="s">
        <v>30</v>
      </c>
      <c r="B1101" s="354" t="s">
        <v>19</v>
      </c>
      <c r="C1101" s="293" t="s">
        <v>81</v>
      </c>
      <c r="D1101" s="908" t="s">
        <v>77</v>
      </c>
      <c r="E1101" s="908" t="s">
        <v>82</v>
      </c>
      <c r="F1101" s="909" t="s">
        <v>83</v>
      </c>
      <c r="G1101" s="355" t="s">
        <v>84</v>
      </c>
    </row>
    <row r="1102" spans="1:9" ht="36" customHeight="1">
      <c r="A1102" s="927">
        <v>89353</v>
      </c>
      <c r="B1102" s="912" t="s">
        <v>2865</v>
      </c>
      <c r="C1102" s="293" t="s">
        <v>87</v>
      </c>
      <c r="D1102" s="909" t="s">
        <v>2713</v>
      </c>
      <c r="E1102" s="954">
        <v>1</v>
      </c>
      <c r="F1102" s="825">
        <f>G1000</f>
        <v>27.33</v>
      </c>
      <c r="G1102" s="312">
        <f>TRUNC(E1102*F1102,2)</f>
        <v>27.33</v>
      </c>
    </row>
    <row r="1103" spans="1:9" ht="39" customHeight="1">
      <c r="A1103" s="354">
        <v>89383</v>
      </c>
      <c r="B1103" s="963" t="s">
        <v>2863</v>
      </c>
      <c r="C1103" s="293" t="s">
        <v>87</v>
      </c>
      <c r="D1103" s="909" t="s">
        <v>2713</v>
      </c>
      <c r="E1103" s="953">
        <v>2</v>
      </c>
      <c r="F1103" s="825">
        <f>G1053</f>
        <v>5.42</v>
      </c>
      <c r="G1103" s="312">
        <f>TRUNC(E1103*F1103,2)</f>
        <v>10.84</v>
      </c>
    </row>
    <row r="1104" spans="1:9" ht="15" customHeight="1">
      <c r="F1104" s="360" t="s">
        <v>90</v>
      </c>
      <c r="G1104" s="322"/>
    </row>
    <row r="1105" spans="1:9" ht="15" customHeight="1">
      <c r="F1105" s="301" t="s">
        <v>92</v>
      </c>
      <c r="G1105" s="312">
        <f>SUM(G1102:G1103)</f>
        <v>38.17</v>
      </c>
    </row>
    <row r="1106" spans="1:9" ht="15" customHeight="1">
      <c r="A1106" s="122" t="s">
        <v>94</v>
      </c>
      <c r="F1106" s="301" t="s">
        <v>93</v>
      </c>
      <c r="G1106" s="820">
        <f>SUM(G1104:G1105)</f>
        <v>38.17</v>
      </c>
    </row>
    <row r="1107" spans="1:9" ht="15" customHeight="1">
      <c r="A1107" s="300" t="s">
        <v>95</v>
      </c>
      <c r="B1107" s="385">
        <f>G1106</f>
        <v>38.17</v>
      </c>
    </row>
    <row r="1108" spans="1:9" ht="15" customHeight="1">
      <c r="A1108" s="382" t="s">
        <v>2272</v>
      </c>
      <c r="B1108" s="381"/>
    </row>
    <row r="1109" spans="1:9" ht="15" customHeight="1">
      <c r="A1109" s="443" t="s">
        <v>2311</v>
      </c>
      <c r="B1109" s="381">
        <f>(B1107+B1108)*0.245</f>
        <v>9.3516500000000011</v>
      </c>
    </row>
    <row r="1110" spans="1:9" ht="15" customHeight="1">
      <c r="A1110" s="300" t="s">
        <v>98</v>
      </c>
      <c r="B1110" s="386">
        <f>SUM(B1107:B1109)</f>
        <v>47.521650000000001</v>
      </c>
      <c r="H1110" s="394"/>
      <c r="I1110" s="122" t="s">
        <v>2277</v>
      </c>
    </row>
    <row r="1111" spans="1:9" ht="11.25" customHeight="1">
      <c r="A1111" s="362"/>
      <c r="B1111" s="363"/>
      <c r="C1111" s="364"/>
      <c r="D1111" s="362"/>
      <c r="E1111" s="363"/>
      <c r="F1111" s="363"/>
      <c r="G1111" s="363"/>
      <c r="H1111" s="362"/>
    </row>
    <row r="1112" spans="1:9" ht="11.25" customHeight="1"/>
    <row r="1113" spans="1:9" ht="11.25" customHeight="1">
      <c r="A1113" s="826" t="s">
        <v>2709</v>
      </c>
    </row>
    <row r="1114" spans="1:9" ht="11.25" customHeight="1">
      <c r="A1114" s="148" t="s">
        <v>2869</v>
      </c>
    </row>
    <row r="1115" spans="1:9" ht="22.5" customHeight="1">
      <c r="A1115" s="352" t="s">
        <v>1450</v>
      </c>
      <c r="B1115" s="965" t="s">
        <v>2868</v>
      </c>
      <c r="C1115" s="494" t="s">
        <v>2713</v>
      </c>
      <c r="D1115" s="352" t="s">
        <v>2995</v>
      </c>
      <c r="E1115" s="122"/>
      <c r="F1115" s="122"/>
      <c r="G1115" s="353"/>
    </row>
    <row r="1116" spans="1:9" ht="26.25" customHeight="1">
      <c r="A1116" s="897" t="s">
        <v>30</v>
      </c>
      <c r="B1116" s="354" t="s">
        <v>19</v>
      </c>
      <c r="C1116" s="293" t="s">
        <v>81</v>
      </c>
      <c r="D1116" s="892" t="s">
        <v>77</v>
      </c>
      <c r="E1116" s="892" t="s">
        <v>82</v>
      </c>
      <c r="F1116" s="890" t="s">
        <v>83</v>
      </c>
      <c r="G1116" s="355" t="s">
        <v>84</v>
      </c>
    </row>
    <row r="1117" spans="1:9" ht="15" customHeight="1">
      <c r="A1117" s="1141">
        <v>88248</v>
      </c>
      <c r="B1117" s="1173" t="s">
        <v>307</v>
      </c>
      <c r="C1117" s="293" t="s">
        <v>104</v>
      </c>
      <c r="D1117" s="1131" t="s">
        <v>383</v>
      </c>
      <c r="E1117" s="1162">
        <v>0.84699999999999998</v>
      </c>
      <c r="F1117" s="825">
        <f>'COMP AUX'!G321</f>
        <v>10.98</v>
      </c>
      <c r="G1117" s="358">
        <f>TRUNC(E1117*F1117,2)</f>
        <v>9.3000000000000007</v>
      </c>
    </row>
    <row r="1118" spans="1:9" ht="15" customHeight="1">
      <c r="A1118" s="1142"/>
      <c r="B1118" s="1174"/>
      <c r="C1118" s="293" t="s">
        <v>87</v>
      </c>
      <c r="D1118" s="1131"/>
      <c r="E1118" s="1163"/>
      <c r="F1118" s="825">
        <f>'COMP AUX'!G322</f>
        <v>4.4000000000000004</v>
      </c>
      <c r="G1118" s="312">
        <f>TRUNC(E1117*F1118,2)</f>
        <v>3.72</v>
      </c>
    </row>
    <row r="1119" spans="1:9" ht="15" customHeight="1">
      <c r="A1119" s="1141">
        <v>88267</v>
      </c>
      <c r="B1119" s="1173" t="s">
        <v>2859</v>
      </c>
      <c r="C1119" s="293" t="s">
        <v>104</v>
      </c>
      <c r="D1119" s="1153" t="s">
        <v>383</v>
      </c>
      <c r="E1119" s="1162">
        <v>0.84699999999999998</v>
      </c>
      <c r="F1119" s="825">
        <f>'COMP AUX'!G338</f>
        <v>15.5</v>
      </c>
      <c r="G1119" s="312">
        <f>TRUNC(E1119:E1119*F1119,2)</f>
        <v>13.12</v>
      </c>
    </row>
    <row r="1120" spans="1:9" ht="15" customHeight="1">
      <c r="A1120" s="1142"/>
      <c r="B1120" s="1174"/>
      <c r="C1120" s="293" t="s">
        <v>87</v>
      </c>
      <c r="D1120" s="1154"/>
      <c r="E1120" s="1163"/>
      <c r="F1120" s="825">
        <f>'COMP AUX'!G339</f>
        <v>4.4000000000000004</v>
      </c>
      <c r="G1120" s="312">
        <f>TRUNC(E1119:E1119*F1120,2)</f>
        <v>3.72</v>
      </c>
    </row>
    <row r="1121" spans="1:12" ht="15" customHeight="1">
      <c r="A1121" s="903">
        <v>3148</v>
      </c>
      <c r="B1121" s="887" t="s">
        <v>2388</v>
      </c>
      <c r="C1121" s="293" t="s">
        <v>87</v>
      </c>
      <c r="D1121" s="888" t="s">
        <v>1452</v>
      </c>
      <c r="E1121" s="896">
        <v>5.7000000000000002E-2</v>
      </c>
      <c r="F1121" s="825">
        <v>12.5</v>
      </c>
      <c r="G1121" s="312">
        <f>TRUNC(E1121*F1121,2)</f>
        <v>0.71</v>
      </c>
      <c r="K1121" s="639">
        <f>1.2*2.5</f>
        <v>3</v>
      </c>
      <c r="L1121" s="122">
        <v>405.9</v>
      </c>
    </row>
    <row r="1122" spans="1:12" ht="26.25" customHeight="1">
      <c r="A1122" s="903">
        <v>88248</v>
      </c>
      <c r="B1122" s="887" t="s">
        <v>2870</v>
      </c>
      <c r="C1122" s="293" t="s">
        <v>87</v>
      </c>
      <c r="D1122" s="888" t="s">
        <v>1452</v>
      </c>
      <c r="E1122" s="896">
        <v>1</v>
      </c>
      <c r="F1122" s="825">
        <v>99.08</v>
      </c>
      <c r="G1122" s="312">
        <f>TRUNC(E1122*F1122,2)</f>
        <v>99.08</v>
      </c>
      <c r="K1122" s="122">
        <v>1</v>
      </c>
      <c r="L1122" s="122">
        <f>L1121/K1121</f>
        <v>135.29999999999998</v>
      </c>
    </row>
    <row r="1123" spans="1:12" ht="15" customHeight="1">
      <c r="F1123" s="360" t="s">
        <v>90</v>
      </c>
      <c r="G1123" s="322">
        <f>SUM(G1117,G1119)</f>
        <v>22.42</v>
      </c>
    </row>
    <row r="1124" spans="1:12" ht="15" customHeight="1">
      <c r="F1124" s="301" t="s">
        <v>92</v>
      </c>
      <c r="G1124" s="312">
        <f>SUM(G1118,G1120,G1121,G1122)</f>
        <v>107.23</v>
      </c>
    </row>
    <row r="1125" spans="1:12" ht="15" customHeight="1">
      <c r="A1125" s="122" t="s">
        <v>94</v>
      </c>
      <c r="F1125" s="301" t="s">
        <v>93</v>
      </c>
      <c r="G1125" s="820">
        <f>SUM(G1123:G1124)</f>
        <v>129.65</v>
      </c>
    </row>
    <row r="1126" spans="1:12" ht="15" customHeight="1">
      <c r="A1126" s="300" t="s">
        <v>95</v>
      </c>
      <c r="B1126" s="385">
        <f>G1125</f>
        <v>129.65</v>
      </c>
    </row>
    <row r="1127" spans="1:12" ht="15" customHeight="1">
      <c r="A1127" s="382" t="s">
        <v>2272</v>
      </c>
      <c r="B1127" s="381"/>
    </row>
    <row r="1128" spans="1:12" ht="15" customHeight="1">
      <c r="A1128" s="443" t="s">
        <v>2311</v>
      </c>
      <c r="B1128" s="381">
        <f>(B1126+B1127)*0.245</f>
        <v>31.764250000000001</v>
      </c>
    </row>
    <row r="1129" spans="1:12" ht="15" customHeight="1">
      <c r="A1129" s="300" t="s">
        <v>98</v>
      </c>
      <c r="B1129" s="386">
        <f>SUM(B1126:B1128)</f>
        <v>161.41425000000001</v>
      </c>
      <c r="H1129" s="394"/>
      <c r="I1129" s="122" t="s">
        <v>2277</v>
      </c>
    </row>
    <row r="1130" spans="1:12" ht="11.25" customHeight="1">
      <c r="A1130" s="362"/>
      <c r="B1130" s="363"/>
      <c r="C1130" s="364"/>
      <c r="D1130" s="362"/>
      <c r="E1130" s="363"/>
      <c r="F1130" s="363"/>
      <c r="G1130" s="363"/>
      <c r="H1130" s="362"/>
    </row>
    <row r="1131" spans="1:12" ht="11.25" customHeight="1"/>
    <row r="1132" spans="1:12" ht="11.25" customHeight="1">
      <c r="A1132" s="826" t="s">
        <v>2709</v>
      </c>
    </row>
    <row r="1133" spans="1:12" ht="11.25" customHeight="1">
      <c r="A1133" s="148" t="s">
        <v>2871</v>
      </c>
    </row>
    <row r="1134" spans="1:12" ht="22.5" customHeight="1">
      <c r="A1134" s="352" t="s">
        <v>1450</v>
      </c>
      <c r="B1134" s="965" t="s">
        <v>2872</v>
      </c>
      <c r="C1134" s="494" t="s">
        <v>2713</v>
      </c>
      <c r="D1134" s="352"/>
      <c r="E1134" s="122"/>
      <c r="F1134" s="122"/>
      <c r="G1134" s="353"/>
    </row>
    <row r="1135" spans="1:12" ht="26.25" customHeight="1">
      <c r="A1135" s="897" t="s">
        <v>30</v>
      </c>
      <c r="B1135" s="354" t="s">
        <v>19</v>
      </c>
      <c r="C1135" s="293" t="s">
        <v>81</v>
      </c>
      <c r="D1135" s="892" t="s">
        <v>77</v>
      </c>
      <c r="E1135" s="892" t="s">
        <v>82</v>
      </c>
      <c r="F1135" s="890" t="s">
        <v>83</v>
      </c>
      <c r="G1135" s="355" t="s">
        <v>84</v>
      </c>
    </row>
    <row r="1136" spans="1:12" ht="15" customHeight="1">
      <c r="A1136" s="1141">
        <v>88248</v>
      </c>
      <c r="B1136" s="1173" t="s">
        <v>307</v>
      </c>
      <c r="C1136" s="293" t="s">
        <v>104</v>
      </c>
      <c r="D1136" s="1131" t="s">
        <v>383</v>
      </c>
      <c r="E1136" s="1162">
        <v>0.84699999999999998</v>
      </c>
      <c r="F1136" s="825">
        <f>'COMP AUX'!G321</f>
        <v>10.98</v>
      </c>
      <c r="G1136" s="358">
        <f>TRUNC(E1136*F1136,2)</f>
        <v>9.3000000000000007</v>
      </c>
    </row>
    <row r="1137" spans="1:12" ht="15" customHeight="1">
      <c r="A1137" s="1142"/>
      <c r="B1137" s="1174"/>
      <c r="C1137" s="293" t="s">
        <v>87</v>
      </c>
      <c r="D1137" s="1131"/>
      <c r="E1137" s="1163"/>
      <c r="F1137" s="825">
        <f>'COMP AUX'!G322</f>
        <v>4.4000000000000004</v>
      </c>
      <c r="G1137" s="312">
        <f>TRUNC(E1136*F1137,2)</f>
        <v>3.72</v>
      </c>
    </row>
    <row r="1138" spans="1:12" ht="15" customHeight="1">
      <c r="A1138" s="1141">
        <v>88267</v>
      </c>
      <c r="B1138" s="1173" t="s">
        <v>2859</v>
      </c>
      <c r="C1138" s="293" t="s">
        <v>104</v>
      </c>
      <c r="D1138" s="1153" t="s">
        <v>383</v>
      </c>
      <c r="E1138" s="1162">
        <v>0.84699999999999998</v>
      </c>
      <c r="F1138" s="825">
        <f>'COMP AUX'!G338</f>
        <v>15.5</v>
      </c>
      <c r="G1138" s="312">
        <f>TRUNC(E1138:E1138*F1138,2)</f>
        <v>13.12</v>
      </c>
    </row>
    <row r="1139" spans="1:12" ht="15" customHeight="1">
      <c r="A1139" s="1142"/>
      <c r="B1139" s="1174"/>
      <c r="C1139" s="293" t="s">
        <v>87</v>
      </c>
      <c r="D1139" s="1154"/>
      <c r="E1139" s="1163"/>
      <c r="F1139" s="825">
        <f>'COMP AUX'!G339</f>
        <v>4.4000000000000004</v>
      </c>
      <c r="G1139" s="312">
        <f>TRUNC(E1138:E1138*F1139,2)</f>
        <v>3.72</v>
      </c>
    </row>
    <row r="1140" spans="1:12" ht="15" customHeight="1">
      <c r="A1140" s="903">
        <v>3148</v>
      </c>
      <c r="B1140" s="887" t="s">
        <v>2388</v>
      </c>
      <c r="C1140" s="293" t="s">
        <v>87</v>
      </c>
      <c r="D1140" s="888" t="s">
        <v>1452</v>
      </c>
      <c r="E1140" s="896">
        <v>5.7000000000000002E-2</v>
      </c>
      <c r="F1140" s="825">
        <v>12.5</v>
      </c>
      <c r="G1140" s="312">
        <f>TRUNC(E1140*F1140,2)</f>
        <v>0.71</v>
      </c>
      <c r="K1140" s="639">
        <f>1.2*2.5</f>
        <v>3</v>
      </c>
      <c r="L1140" s="122">
        <v>405.9</v>
      </c>
    </row>
    <row r="1141" spans="1:12" ht="26.25" customHeight="1">
      <c r="A1141" s="903">
        <v>88248</v>
      </c>
      <c r="B1141" s="887" t="s">
        <v>2870</v>
      </c>
      <c r="C1141" s="293" t="s">
        <v>87</v>
      </c>
      <c r="D1141" s="888" t="s">
        <v>1452</v>
      </c>
      <c r="E1141" s="896">
        <v>1</v>
      </c>
      <c r="F1141" s="825">
        <v>206.46</v>
      </c>
      <c r="G1141" s="312">
        <f>TRUNC(E1141*F1141,2)</f>
        <v>206.46</v>
      </c>
      <c r="K1141" s="122">
        <v>1</v>
      </c>
      <c r="L1141" s="122">
        <f>L1140/K1140</f>
        <v>135.29999999999998</v>
      </c>
    </row>
    <row r="1142" spans="1:12" ht="15" customHeight="1">
      <c r="F1142" s="360" t="s">
        <v>90</v>
      </c>
      <c r="G1142" s="322">
        <f>SUM(G1136,G1138)</f>
        <v>22.42</v>
      </c>
    </row>
    <row r="1143" spans="1:12" ht="15" customHeight="1">
      <c r="F1143" s="301" t="s">
        <v>92</v>
      </c>
      <c r="G1143" s="312">
        <f>SUM(G1137,G1139,G1140,G1141)</f>
        <v>214.61</v>
      </c>
    </row>
    <row r="1144" spans="1:12" ht="15" customHeight="1">
      <c r="A1144" s="122" t="s">
        <v>94</v>
      </c>
      <c r="F1144" s="301" t="s">
        <v>93</v>
      </c>
      <c r="G1144" s="820">
        <f>SUM(G1142:G1143)</f>
        <v>237.03000000000003</v>
      </c>
    </row>
    <row r="1145" spans="1:12" ht="15" customHeight="1">
      <c r="A1145" s="300" t="s">
        <v>95</v>
      </c>
      <c r="B1145" s="385">
        <f>G1144</f>
        <v>237.03000000000003</v>
      </c>
    </row>
    <row r="1146" spans="1:12" ht="15" customHeight="1">
      <c r="A1146" s="382" t="s">
        <v>2272</v>
      </c>
      <c r="B1146" s="381"/>
    </row>
    <row r="1147" spans="1:12" ht="15" customHeight="1">
      <c r="A1147" s="443" t="s">
        <v>2311</v>
      </c>
      <c r="B1147" s="381">
        <f>(B1145+B1146)*0.245</f>
        <v>58.072350000000007</v>
      </c>
    </row>
    <row r="1148" spans="1:12" ht="15" customHeight="1">
      <c r="A1148" s="300" t="s">
        <v>98</v>
      </c>
      <c r="B1148" s="386">
        <f>SUM(B1145:B1147)</f>
        <v>295.10235000000006</v>
      </c>
      <c r="H1148" s="394"/>
      <c r="I1148" s="122" t="s">
        <v>2277</v>
      </c>
    </row>
    <row r="1149" spans="1:12" ht="11.25" customHeight="1">
      <c r="A1149" s="362"/>
      <c r="B1149" s="363"/>
      <c r="C1149" s="364"/>
      <c r="D1149" s="362"/>
      <c r="E1149" s="363"/>
      <c r="F1149" s="363"/>
      <c r="G1149" s="363"/>
      <c r="H1149" s="362"/>
    </row>
    <row r="1150" spans="1:12" ht="11.25" customHeight="1"/>
    <row r="1151" spans="1:12" ht="11.25" customHeight="1">
      <c r="A1151" s="826" t="s">
        <v>2709</v>
      </c>
    </row>
    <row r="1152" spans="1:12" ht="11.25" customHeight="1">
      <c r="A1152" s="148" t="s">
        <v>2881</v>
      </c>
    </row>
    <row r="1153" spans="1:9" ht="35.25" customHeight="1">
      <c r="A1153" s="352" t="s">
        <v>1450</v>
      </c>
      <c r="B1153" s="965" t="s">
        <v>2882</v>
      </c>
      <c r="C1153" s="494" t="s">
        <v>2713</v>
      </c>
      <c r="D1153" s="352"/>
      <c r="E1153" s="122"/>
      <c r="F1153" s="122"/>
      <c r="G1153" s="353"/>
    </row>
    <row r="1154" spans="1:9" ht="26.25" customHeight="1">
      <c r="A1154" s="945" t="s">
        <v>30</v>
      </c>
      <c r="B1154" s="354" t="s">
        <v>19</v>
      </c>
      <c r="C1154" s="293" t="s">
        <v>81</v>
      </c>
      <c r="D1154" s="908" t="s">
        <v>77</v>
      </c>
      <c r="E1154" s="908" t="s">
        <v>82</v>
      </c>
      <c r="F1154" s="909" t="s">
        <v>83</v>
      </c>
      <c r="G1154" s="355" t="s">
        <v>84</v>
      </c>
    </row>
    <row r="1155" spans="1:9" ht="15" customHeight="1">
      <c r="A1155" s="1141">
        <v>88248</v>
      </c>
      <c r="B1155" s="1151" t="s">
        <v>307</v>
      </c>
      <c r="C1155" s="293" t="s">
        <v>104</v>
      </c>
      <c r="D1155" s="1131" t="s">
        <v>383</v>
      </c>
      <c r="E1155" s="1149">
        <v>0.53800000000000003</v>
      </c>
      <c r="F1155" s="831">
        <f>'COMP AUX'!G321</f>
        <v>10.98</v>
      </c>
      <c r="G1155" s="358">
        <f>TRUNC(E1155*F1155,2)</f>
        <v>5.9</v>
      </c>
    </row>
    <row r="1156" spans="1:9" ht="15" customHeight="1">
      <c r="A1156" s="1142"/>
      <c r="B1156" s="1152"/>
      <c r="C1156" s="293" t="s">
        <v>87</v>
      </c>
      <c r="D1156" s="1131"/>
      <c r="E1156" s="1150"/>
      <c r="F1156" s="831">
        <f>'COMP AUX'!G322</f>
        <v>4.4000000000000004</v>
      </c>
      <c r="G1156" s="312">
        <f>TRUNC(E1155*F1156,2)</f>
        <v>2.36</v>
      </c>
    </row>
    <row r="1157" spans="1:9" ht="15" customHeight="1">
      <c r="A1157" s="1141">
        <v>88267</v>
      </c>
      <c r="B1157" s="1151" t="s">
        <v>2859</v>
      </c>
      <c r="C1157" s="293" t="s">
        <v>104</v>
      </c>
      <c r="D1157" s="1153" t="s">
        <v>383</v>
      </c>
      <c r="E1157" s="1149">
        <v>0.53800000000000003</v>
      </c>
      <c r="F1157" s="831">
        <f>'COMP AUX'!G338</f>
        <v>15.5</v>
      </c>
      <c r="G1157" s="312">
        <f>TRUNC(E1157:E1157*F1157,2)</f>
        <v>8.33</v>
      </c>
    </row>
    <row r="1158" spans="1:9" ht="15" customHeight="1">
      <c r="A1158" s="1142"/>
      <c r="B1158" s="1152"/>
      <c r="C1158" s="293" t="s">
        <v>87</v>
      </c>
      <c r="D1158" s="1154"/>
      <c r="E1158" s="1150"/>
      <c r="F1158" s="831">
        <f>'COMP AUX'!G339</f>
        <v>4.4000000000000004</v>
      </c>
      <c r="G1158" s="312">
        <f>TRUNC(E1157:E1157*F1158,2)</f>
        <v>2.36</v>
      </c>
    </row>
    <row r="1159" spans="1:9" ht="39" customHeight="1">
      <c r="A1159" s="354">
        <v>9870</v>
      </c>
      <c r="B1159" s="967" t="s">
        <v>2883</v>
      </c>
      <c r="C1159" s="293" t="s">
        <v>87</v>
      </c>
      <c r="D1159" s="909" t="s">
        <v>2713</v>
      </c>
      <c r="E1159" s="966">
        <v>0.94199999999999995</v>
      </c>
      <c r="F1159" s="831">
        <f>59.82</f>
        <v>59.82</v>
      </c>
      <c r="G1159" s="312">
        <f>TRUNC(E1159*F1159,2)</f>
        <v>56.35</v>
      </c>
    </row>
    <row r="1160" spans="1:9" ht="39" customHeight="1">
      <c r="A1160" s="945">
        <v>38383</v>
      </c>
      <c r="B1160" s="968" t="s">
        <v>1665</v>
      </c>
      <c r="C1160" s="293" t="s">
        <v>87</v>
      </c>
      <c r="D1160" s="293" t="s">
        <v>2713</v>
      </c>
      <c r="E1160" s="831">
        <v>0.03</v>
      </c>
      <c r="F1160" s="831">
        <v>1.99</v>
      </c>
      <c r="G1160" s="312">
        <f>TRUNC(E1160*F1160,2)</f>
        <v>0.05</v>
      </c>
    </row>
    <row r="1161" spans="1:9" ht="15" customHeight="1">
      <c r="F1161" s="360" t="s">
        <v>90</v>
      </c>
      <c r="G1161" s="322">
        <f>SUM(G1155,G1157)</f>
        <v>14.23</v>
      </c>
    </row>
    <row r="1162" spans="1:9" ht="15" customHeight="1">
      <c r="F1162" s="301" t="s">
        <v>92</v>
      </c>
      <c r="G1162" s="312">
        <f>SUM(G1156,G1158,G1159,G1160)</f>
        <v>61.12</v>
      </c>
    </row>
    <row r="1163" spans="1:9" ht="15" customHeight="1">
      <c r="A1163" s="122" t="s">
        <v>94</v>
      </c>
      <c r="F1163" s="301" t="s">
        <v>93</v>
      </c>
      <c r="G1163" s="820">
        <f>SUM(G1161:G1162)</f>
        <v>75.349999999999994</v>
      </c>
    </row>
    <row r="1164" spans="1:9" ht="15" customHeight="1">
      <c r="A1164" s="300" t="s">
        <v>95</v>
      </c>
      <c r="B1164" s="385">
        <f>G1163</f>
        <v>75.349999999999994</v>
      </c>
    </row>
    <row r="1165" spans="1:9" ht="15" customHeight="1">
      <c r="A1165" s="382" t="s">
        <v>2272</v>
      </c>
      <c r="B1165" s="381"/>
    </row>
    <row r="1166" spans="1:9" ht="15" customHeight="1">
      <c r="A1166" s="443" t="s">
        <v>2311</v>
      </c>
      <c r="B1166" s="381">
        <f>(B1164+B1165)*0.245</f>
        <v>18.460749999999997</v>
      </c>
    </row>
    <row r="1167" spans="1:9" ht="15" customHeight="1">
      <c r="A1167" s="300" t="s">
        <v>98</v>
      </c>
      <c r="B1167" s="386">
        <f>SUM(B1164:B1166)</f>
        <v>93.810749999999985</v>
      </c>
      <c r="H1167" s="394"/>
      <c r="I1167" s="122" t="s">
        <v>2277</v>
      </c>
    </row>
    <row r="1168" spans="1:9" ht="11.25" customHeight="1">
      <c r="A1168" s="362"/>
      <c r="B1168" s="363"/>
      <c r="C1168" s="364"/>
      <c r="D1168" s="362"/>
      <c r="E1168" s="363"/>
      <c r="F1168" s="363"/>
      <c r="G1168" s="363"/>
      <c r="H1168" s="362"/>
    </row>
    <row r="1169" spans="1:7" ht="11.25" customHeight="1"/>
    <row r="1170" spans="1:7" ht="11.25" customHeight="1">
      <c r="A1170" s="826" t="s">
        <v>2709</v>
      </c>
    </row>
    <row r="1171" spans="1:7" ht="11.25" customHeight="1">
      <c r="A1171" s="148" t="s">
        <v>2884</v>
      </c>
    </row>
    <row r="1172" spans="1:7" ht="24.75" customHeight="1">
      <c r="A1172" s="352" t="s">
        <v>1450</v>
      </c>
      <c r="B1172" s="965" t="s">
        <v>2885</v>
      </c>
      <c r="C1172" s="494" t="s">
        <v>2713</v>
      </c>
      <c r="D1172" s="352"/>
      <c r="E1172" s="122"/>
      <c r="F1172" s="122"/>
      <c r="G1172" s="353"/>
    </row>
    <row r="1173" spans="1:7" ht="26.25" customHeight="1">
      <c r="A1173" s="945" t="s">
        <v>30</v>
      </c>
      <c r="B1173" s="354" t="s">
        <v>19</v>
      </c>
      <c r="C1173" s="293" t="s">
        <v>81</v>
      </c>
      <c r="D1173" s="908" t="s">
        <v>77</v>
      </c>
      <c r="E1173" s="908" t="s">
        <v>82</v>
      </c>
      <c r="F1173" s="909" t="s">
        <v>83</v>
      </c>
      <c r="G1173" s="355" t="s">
        <v>84</v>
      </c>
    </row>
    <row r="1174" spans="1:7" ht="15" customHeight="1">
      <c r="A1174" s="1141">
        <v>88248</v>
      </c>
      <c r="B1174" s="1151" t="s">
        <v>307</v>
      </c>
      <c r="C1174" s="293" t="s">
        <v>104</v>
      </c>
      <c r="D1174" s="1131" t="s">
        <v>383</v>
      </c>
      <c r="E1174" s="1149">
        <v>4.7E-2</v>
      </c>
      <c r="F1174" s="831">
        <f>'COMP AUX'!G321</f>
        <v>10.98</v>
      </c>
      <c r="G1174" s="358">
        <f>TRUNC(E1174*F1174,2)</f>
        <v>0.51</v>
      </c>
    </row>
    <row r="1175" spans="1:7" ht="15" customHeight="1">
      <c r="A1175" s="1142"/>
      <c r="B1175" s="1152"/>
      <c r="C1175" s="293" t="s">
        <v>87</v>
      </c>
      <c r="D1175" s="1131"/>
      <c r="E1175" s="1150"/>
      <c r="F1175" s="831">
        <f>'COMP AUX'!G322</f>
        <v>4.4000000000000004</v>
      </c>
      <c r="G1175" s="312">
        <f>TRUNC(E1174*F1175,2)</f>
        <v>0.2</v>
      </c>
    </row>
    <row r="1176" spans="1:7" ht="15" customHeight="1">
      <c r="A1176" s="1141">
        <v>88267</v>
      </c>
      <c r="B1176" s="1151" t="s">
        <v>2859</v>
      </c>
      <c r="C1176" s="293" t="s">
        <v>104</v>
      </c>
      <c r="D1176" s="1153" t="s">
        <v>383</v>
      </c>
      <c r="E1176" s="1149">
        <v>4.7E-2</v>
      </c>
      <c r="F1176" s="831">
        <f>'COMP AUX'!G338</f>
        <v>15.5</v>
      </c>
      <c r="G1176" s="312">
        <f>TRUNC(E1176:E1176*F1176,2)</f>
        <v>0.72</v>
      </c>
    </row>
    <row r="1177" spans="1:7" ht="15" customHeight="1">
      <c r="A1177" s="1142"/>
      <c r="B1177" s="1152"/>
      <c r="C1177" s="293" t="s">
        <v>87</v>
      </c>
      <c r="D1177" s="1154"/>
      <c r="E1177" s="1150"/>
      <c r="F1177" s="831">
        <f>'COMP AUX'!G339</f>
        <v>4.4000000000000004</v>
      </c>
      <c r="G1177" s="312">
        <f>TRUNC(E1176:E1176*F1177,2)</f>
        <v>0.2</v>
      </c>
    </row>
    <row r="1178" spans="1:7" ht="39" customHeight="1">
      <c r="A1178" s="354">
        <v>9870</v>
      </c>
      <c r="B1178" s="967" t="s">
        <v>2883</v>
      </c>
      <c r="C1178" s="293" t="s">
        <v>87</v>
      </c>
      <c r="D1178" s="909" t="s">
        <v>2713</v>
      </c>
      <c r="E1178" s="966">
        <v>1.0609999999999999</v>
      </c>
      <c r="F1178" s="831">
        <v>37.29</v>
      </c>
      <c r="G1178" s="312">
        <f>TRUNC(E1178*F1178,2)</f>
        <v>39.56</v>
      </c>
    </row>
    <row r="1179" spans="1:7" ht="39" customHeight="1">
      <c r="A1179" s="945">
        <v>38383</v>
      </c>
      <c r="B1179" s="968" t="s">
        <v>1665</v>
      </c>
      <c r="C1179" s="293" t="s">
        <v>87</v>
      </c>
      <c r="D1179" s="293" t="s">
        <v>2713</v>
      </c>
      <c r="E1179" s="966">
        <v>1.6E-2</v>
      </c>
      <c r="F1179" s="831">
        <v>1.99</v>
      </c>
      <c r="G1179" s="312">
        <f>TRUNC(E1179*F1179,2)</f>
        <v>0.03</v>
      </c>
    </row>
    <row r="1180" spans="1:7" ht="15" customHeight="1">
      <c r="F1180" s="360" t="s">
        <v>90</v>
      </c>
      <c r="G1180" s="322">
        <f>SUM(G1174,G1176)</f>
        <v>1.23</v>
      </c>
    </row>
    <row r="1181" spans="1:7" ht="15" customHeight="1">
      <c r="F1181" s="301" t="s">
        <v>92</v>
      </c>
      <c r="G1181" s="312">
        <f>SUM(G1175,G1177,G1178,G1179)</f>
        <v>39.99</v>
      </c>
    </row>
    <row r="1182" spans="1:7" ht="15" customHeight="1">
      <c r="A1182" s="122" t="s">
        <v>94</v>
      </c>
      <c r="F1182" s="301" t="s">
        <v>93</v>
      </c>
      <c r="G1182" s="820">
        <f>SUM(G1180:G1181)</f>
        <v>41.22</v>
      </c>
    </row>
    <row r="1183" spans="1:7" ht="15" customHeight="1">
      <c r="A1183" s="300" t="s">
        <v>95</v>
      </c>
      <c r="B1183" s="385">
        <f>G1182</f>
        <v>41.22</v>
      </c>
    </row>
    <row r="1184" spans="1:7" ht="15" customHeight="1">
      <c r="A1184" s="382" t="s">
        <v>2272</v>
      </c>
      <c r="B1184" s="381"/>
    </row>
    <row r="1185" spans="1:9" ht="15" customHeight="1">
      <c r="A1185" s="443" t="s">
        <v>2311</v>
      </c>
      <c r="B1185" s="381">
        <f>(B1183+B1184)*0.245</f>
        <v>10.098899999999999</v>
      </c>
    </row>
    <row r="1186" spans="1:9" ht="15" customHeight="1">
      <c r="A1186" s="300" t="s">
        <v>98</v>
      </c>
      <c r="B1186" s="386">
        <f>SUM(B1183:B1185)</f>
        <v>51.318899999999999</v>
      </c>
      <c r="H1186" s="394"/>
      <c r="I1186" s="122" t="s">
        <v>2277</v>
      </c>
    </row>
    <row r="1187" spans="1:9" ht="11.25" customHeight="1">
      <c r="A1187" s="362"/>
      <c r="B1187" s="363"/>
      <c r="C1187" s="364"/>
      <c r="D1187" s="362"/>
      <c r="E1187" s="363"/>
      <c r="F1187" s="363"/>
      <c r="G1187" s="363"/>
      <c r="H1187" s="362"/>
    </row>
    <row r="1188" spans="1:9" ht="11.25" customHeight="1"/>
    <row r="1189" spans="1:9" ht="11.25" customHeight="1">
      <c r="A1189" s="826" t="s">
        <v>2709</v>
      </c>
    </row>
    <row r="1190" spans="1:9" ht="11.25" customHeight="1">
      <c r="A1190" s="148" t="s">
        <v>2886</v>
      </c>
    </row>
    <row r="1191" spans="1:9" ht="24.75" customHeight="1">
      <c r="A1191" s="352" t="s">
        <v>1450</v>
      </c>
      <c r="B1191" s="965" t="s">
        <v>2887</v>
      </c>
      <c r="C1191" s="494" t="s">
        <v>2713</v>
      </c>
      <c r="D1191" s="352"/>
      <c r="E1191" s="122"/>
      <c r="F1191" s="122"/>
      <c r="G1191" s="353"/>
    </row>
    <row r="1192" spans="1:9" ht="26.25" customHeight="1">
      <c r="A1192" s="945" t="s">
        <v>30</v>
      </c>
      <c r="B1192" s="354" t="s">
        <v>19</v>
      </c>
      <c r="C1192" s="293" t="s">
        <v>81</v>
      </c>
      <c r="D1192" s="908" t="s">
        <v>77</v>
      </c>
      <c r="E1192" s="908" t="s">
        <v>82</v>
      </c>
      <c r="F1192" s="909" t="s">
        <v>83</v>
      </c>
      <c r="G1192" s="355" t="s">
        <v>84</v>
      </c>
    </row>
    <row r="1193" spans="1:9" ht="15" customHeight="1">
      <c r="A1193" s="1141">
        <v>88248</v>
      </c>
      <c r="B1193" s="1151" t="s">
        <v>307</v>
      </c>
      <c r="C1193" s="293" t="s">
        <v>104</v>
      </c>
      <c r="D1193" s="1131" t="s">
        <v>383</v>
      </c>
      <c r="E1193" s="1149">
        <v>3.4000000000000002E-2</v>
      </c>
      <c r="F1193" s="831">
        <f>'COMP AUX'!G321</f>
        <v>10.98</v>
      </c>
      <c r="G1193" s="358">
        <f>TRUNC(E1193*F1193,2)</f>
        <v>0.37</v>
      </c>
    </row>
    <row r="1194" spans="1:9" ht="15" customHeight="1">
      <c r="A1194" s="1142"/>
      <c r="B1194" s="1152"/>
      <c r="C1194" s="293" t="s">
        <v>87</v>
      </c>
      <c r="D1194" s="1131"/>
      <c r="E1194" s="1150"/>
      <c r="F1194" s="831">
        <f>'COMP AUX'!G322</f>
        <v>4.4000000000000004</v>
      </c>
      <c r="G1194" s="312">
        <f>TRUNC(E1193*F1194,2)</f>
        <v>0.14000000000000001</v>
      </c>
    </row>
    <row r="1195" spans="1:9" ht="15" customHeight="1">
      <c r="A1195" s="1141">
        <v>88267</v>
      </c>
      <c r="B1195" s="1151" t="s">
        <v>2859</v>
      </c>
      <c r="C1195" s="293" t="s">
        <v>104</v>
      </c>
      <c r="D1195" s="1153" t="s">
        <v>383</v>
      </c>
      <c r="E1195" s="1149">
        <v>3.4000000000000002E-2</v>
      </c>
      <c r="F1195" s="831">
        <f>'COMP AUX'!G338</f>
        <v>15.5</v>
      </c>
      <c r="G1195" s="312">
        <f>TRUNC(E1195:E1195*F1195,2)</f>
        <v>0.52</v>
      </c>
    </row>
    <row r="1196" spans="1:9" ht="15" customHeight="1">
      <c r="A1196" s="1142"/>
      <c r="B1196" s="1152"/>
      <c r="C1196" s="293" t="s">
        <v>87</v>
      </c>
      <c r="D1196" s="1154"/>
      <c r="E1196" s="1150"/>
      <c r="F1196" s="831">
        <f>'COMP AUX'!G339</f>
        <v>4.4000000000000004</v>
      </c>
      <c r="G1196" s="312">
        <f>TRUNC(E1195:E1195*F1196,2)</f>
        <v>0.14000000000000001</v>
      </c>
    </row>
    <row r="1197" spans="1:9" ht="39" customHeight="1">
      <c r="A1197" s="354">
        <v>9873</v>
      </c>
      <c r="B1197" s="967" t="s">
        <v>2888</v>
      </c>
      <c r="C1197" s="293" t="s">
        <v>87</v>
      </c>
      <c r="D1197" s="909" t="s">
        <v>2713</v>
      </c>
      <c r="E1197" s="966">
        <v>1.0609999999999999</v>
      </c>
      <c r="F1197" s="831">
        <v>17.809999999999999</v>
      </c>
      <c r="G1197" s="312">
        <f>TRUNC(E1197*F1197,2)</f>
        <v>18.89</v>
      </c>
    </row>
    <row r="1198" spans="1:9" ht="39" customHeight="1">
      <c r="A1198" s="945">
        <v>38383</v>
      </c>
      <c r="B1198" s="968" t="s">
        <v>1665</v>
      </c>
      <c r="C1198" s="293" t="s">
        <v>87</v>
      </c>
      <c r="D1198" s="293" t="s">
        <v>2713</v>
      </c>
      <c r="E1198" s="966">
        <v>1.0999999999999999E-2</v>
      </c>
      <c r="F1198" s="831">
        <v>1.99</v>
      </c>
      <c r="G1198" s="312">
        <f>TRUNC(E1198*F1198,2)</f>
        <v>0.02</v>
      </c>
    </row>
    <row r="1199" spans="1:9" ht="15" customHeight="1">
      <c r="F1199" s="360" t="s">
        <v>90</v>
      </c>
      <c r="G1199" s="322">
        <f>SUM(G1193,G1195)</f>
        <v>0.89</v>
      </c>
    </row>
    <row r="1200" spans="1:9" ht="15" customHeight="1">
      <c r="F1200" s="301" t="s">
        <v>92</v>
      </c>
      <c r="G1200" s="312">
        <f>SUM(G1194,G1196,G1197,G1198)</f>
        <v>19.190000000000001</v>
      </c>
    </row>
    <row r="1201" spans="1:9" ht="15" customHeight="1">
      <c r="A1201" s="122" t="s">
        <v>94</v>
      </c>
      <c r="F1201" s="301" t="s">
        <v>93</v>
      </c>
      <c r="G1201" s="820">
        <f>SUM(G1199:G1200)</f>
        <v>20.080000000000002</v>
      </c>
    </row>
    <row r="1202" spans="1:9" ht="15" customHeight="1">
      <c r="A1202" s="300" t="s">
        <v>95</v>
      </c>
      <c r="B1202" s="385">
        <f>G1201</f>
        <v>20.080000000000002</v>
      </c>
    </row>
    <row r="1203" spans="1:9" ht="15" customHeight="1">
      <c r="A1203" s="382" t="s">
        <v>2272</v>
      </c>
      <c r="B1203" s="381"/>
    </row>
    <row r="1204" spans="1:9" ht="15" customHeight="1">
      <c r="A1204" s="443" t="s">
        <v>2311</v>
      </c>
      <c r="B1204" s="381">
        <f>(B1202+B1203)*0.245</f>
        <v>4.9196</v>
      </c>
    </row>
    <row r="1205" spans="1:9" ht="15" customHeight="1">
      <c r="A1205" s="300" t="s">
        <v>98</v>
      </c>
      <c r="B1205" s="386">
        <f>SUM(B1202:B1204)</f>
        <v>24.999600000000001</v>
      </c>
      <c r="H1205" s="394"/>
      <c r="I1205" s="122" t="s">
        <v>2277</v>
      </c>
    </row>
    <row r="1206" spans="1:9" ht="11.25" customHeight="1">
      <c r="A1206" s="362"/>
      <c r="B1206" s="363"/>
      <c r="C1206" s="364"/>
      <c r="D1206" s="362"/>
      <c r="E1206" s="363"/>
      <c r="F1206" s="363"/>
      <c r="G1206" s="363"/>
      <c r="H1206" s="362"/>
    </row>
    <row r="1207" spans="1:9" ht="11.25" customHeight="1"/>
    <row r="1208" spans="1:9" ht="11.25" customHeight="1">
      <c r="A1208" s="826" t="s">
        <v>2709</v>
      </c>
    </row>
    <row r="1209" spans="1:9" ht="11.25" customHeight="1">
      <c r="A1209" s="148" t="s">
        <v>2889</v>
      </c>
    </row>
    <row r="1210" spans="1:9" ht="24.75" customHeight="1">
      <c r="A1210" s="352" t="s">
        <v>1450</v>
      </c>
      <c r="B1210" s="965" t="s">
        <v>2890</v>
      </c>
      <c r="C1210" s="494" t="s">
        <v>2713</v>
      </c>
      <c r="D1210" s="352"/>
      <c r="E1210" s="122"/>
      <c r="F1210" s="122"/>
      <c r="G1210" s="353"/>
    </row>
    <row r="1211" spans="1:9" ht="26.25" customHeight="1">
      <c r="A1211" s="945" t="s">
        <v>30</v>
      </c>
      <c r="B1211" s="354" t="s">
        <v>19</v>
      </c>
      <c r="C1211" s="293" t="s">
        <v>81</v>
      </c>
      <c r="D1211" s="908" t="s">
        <v>77</v>
      </c>
      <c r="E1211" s="908" t="s">
        <v>82</v>
      </c>
      <c r="F1211" s="909" t="s">
        <v>83</v>
      </c>
      <c r="G1211" s="355" t="s">
        <v>84</v>
      </c>
    </row>
    <row r="1212" spans="1:9" ht="15" customHeight="1">
      <c r="A1212" s="1141">
        <v>88248</v>
      </c>
      <c r="B1212" s="1151" t="s">
        <v>307</v>
      </c>
      <c r="C1212" s="293" t="s">
        <v>104</v>
      </c>
      <c r="D1212" s="1131" t="s">
        <v>383</v>
      </c>
      <c r="E1212" s="1149">
        <v>2.4E-2</v>
      </c>
      <c r="F1212" s="831">
        <f>'COMP AUX'!G321</f>
        <v>10.98</v>
      </c>
      <c r="G1212" s="358">
        <f>TRUNC(E1212*F1212,2)</f>
        <v>0.26</v>
      </c>
    </row>
    <row r="1213" spans="1:9" ht="15" customHeight="1">
      <c r="A1213" s="1142"/>
      <c r="B1213" s="1152"/>
      <c r="C1213" s="293" t="s">
        <v>87</v>
      </c>
      <c r="D1213" s="1131"/>
      <c r="E1213" s="1150"/>
      <c r="F1213" s="831">
        <f>'COMP AUX'!G322</f>
        <v>4.4000000000000004</v>
      </c>
      <c r="G1213" s="312">
        <f>TRUNC(E1212*F1213,2)</f>
        <v>0.1</v>
      </c>
    </row>
    <row r="1214" spans="1:9" ht="15" customHeight="1">
      <c r="A1214" s="1141">
        <v>88267</v>
      </c>
      <c r="B1214" s="1151" t="s">
        <v>2859</v>
      </c>
      <c r="C1214" s="293" t="s">
        <v>104</v>
      </c>
      <c r="D1214" s="1153" t="s">
        <v>383</v>
      </c>
      <c r="E1214" s="1149">
        <v>2.4E-2</v>
      </c>
      <c r="F1214" s="831">
        <f>'COMP AUX'!G338</f>
        <v>15.5</v>
      </c>
      <c r="G1214" s="312">
        <f>TRUNC(E1214:E1214*F1214,2)</f>
        <v>0.37</v>
      </c>
    </row>
    <row r="1215" spans="1:9" ht="15" customHeight="1">
      <c r="A1215" s="1142"/>
      <c r="B1215" s="1152"/>
      <c r="C1215" s="293" t="s">
        <v>87</v>
      </c>
      <c r="D1215" s="1154"/>
      <c r="E1215" s="1150"/>
      <c r="F1215" s="831">
        <f>'COMP AUX'!G339</f>
        <v>4.4000000000000004</v>
      </c>
      <c r="G1215" s="312">
        <f>TRUNC(E1214:E1214*F1215,2)</f>
        <v>0.1</v>
      </c>
    </row>
    <row r="1216" spans="1:9" ht="39" customHeight="1">
      <c r="A1216" s="354">
        <v>9874</v>
      </c>
      <c r="B1216" s="967" t="s">
        <v>2891</v>
      </c>
      <c r="C1216" s="293" t="s">
        <v>87</v>
      </c>
      <c r="D1216" s="909" t="s">
        <v>2713</v>
      </c>
      <c r="E1216" s="966">
        <v>1.0609999999999999</v>
      </c>
      <c r="F1216" s="831">
        <v>9.2200000000000006</v>
      </c>
      <c r="G1216" s="312">
        <f>TRUNC(E1216*F1216,2)</f>
        <v>9.7799999999999994</v>
      </c>
    </row>
    <row r="1217" spans="1:9" ht="39" customHeight="1">
      <c r="A1217" s="945">
        <v>38383</v>
      </c>
      <c r="B1217" s="968" t="s">
        <v>1665</v>
      </c>
      <c r="C1217" s="293" t="s">
        <v>87</v>
      </c>
      <c r="D1217" s="293" t="s">
        <v>2713</v>
      </c>
      <c r="E1217" s="966">
        <v>8.0000000000000002E-3</v>
      </c>
      <c r="F1217" s="831">
        <v>1.99</v>
      </c>
      <c r="G1217" s="312">
        <f>TRUNC(E1217*F1217,2)</f>
        <v>0.01</v>
      </c>
    </row>
    <row r="1218" spans="1:9" ht="15" customHeight="1">
      <c r="F1218" s="360" t="s">
        <v>90</v>
      </c>
      <c r="G1218" s="322">
        <f>SUM(G1212,G1214)</f>
        <v>0.63</v>
      </c>
    </row>
    <row r="1219" spans="1:9" ht="15" customHeight="1">
      <c r="F1219" s="301" t="s">
        <v>92</v>
      </c>
      <c r="G1219" s="312">
        <f>SUM(G1213,G1215,G1216,G1217)</f>
        <v>9.9899999999999984</v>
      </c>
    </row>
    <row r="1220" spans="1:9" ht="15" customHeight="1">
      <c r="A1220" s="122" t="s">
        <v>94</v>
      </c>
      <c r="F1220" s="301" t="s">
        <v>93</v>
      </c>
      <c r="G1220" s="820">
        <f>SUM(G1218:G1219)</f>
        <v>10.62</v>
      </c>
    </row>
    <row r="1221" spans="1:9" ht="15" customHeight="1">
      <c r="A1221" s="300" t="s">
        <v>95</v>
      </c>
      <c r="B1221" s="385">
        <f>G1220</f>
        <v>10.62</v>
      </c>
    </row>
    <row r="1222" spans="1:9" ht="15" customHeight="1">
      <c r="A1222" s="382" t="s">
        <v>2272</v>
      </c>
      <c r="B1222" s="381"/>
    </row>
    <row r="1223" spans="1:9" ht="15" customHeight="1">
      <c r="A1223" s="443" t="s">
        <v>2311</v>
      </c>
      <c r="B1223" s="381">
        <f>(B1221+B1222)*0.245</f>
        <v>2.6018999999999997</v>
      </c>
    </row>
    <row r="1224" spans="1:9" ht="15" customHeight="1">
      <c r="A1224" s="300" t="s">
        <v>98</v>
      </c>
      <c r="B1224" s="386">
        <f>SUM(B1221:B1223)</f>
        <v>13.221899999999998</v>
      </c>
      <c r="H1224" s="394"/>
      <c r="I1224" s="122" t="s">
        <v>2277</v>
      </c>
    </row>
    <row r="1225" spans="1:9" ht="11.25" customHeight="1">
      <c r="A1225" s="362"/>
      <c r="B1225" s="363"/>
      <c r="C1225" s="364"/>
      <c r="D1225" s="362"/>
      <c r="E1225" s="363"/>
      <c r="F1225" s="363"/>
      <c r="G1225" s="363"/>
      <c r="H1225" s="362"/>
    </row>
    <row r="1226" spans="1:9" ht="11.25" customHeight="1"/>
    <row r="1227" spans="1:9" ht="11.25" customHeight="1">
      <c r="A1227" s="826" t="s">
        <v>2709</v>
      </c>
    </row>
    <row r="1228" spans="1:9" ht="11.25" customHeight="1">
      <c r="A1228" s="148" t="s">
        <v>2892</v>
      </c>
    </row>
    <row r="1229" spans="1:9" ht="24.75" customHeight="1">
      <c r="A1229" s="352" t="s">
        <v>1450</v>
      </c>
      <c r="B1229" s="965" t="s">
        <v>2893</v>
      </c>
      <c r="C1229" s="494" t="s">
        <v>2713</v>
      </c>
      <c r="D1229" s="352"/>
      <c r="E1229" s="122"/>
      <c r="F1229" s="122"/>
      <c r="G1229" s="353"/>
    </row>
    <row r="1230" spans="1:9" ht="26.25" customHeight="1">
      <c r="A1230" s="945" t="s">
        <v>30</v>
      </c>
      <c r="B1230" s="354" t="s">
        <v>19</v>
      </c>
      <c r="C1230" s="293" t="s">
        <v>81</v>
      </c>
      <c r="D1230" s="908" t="s">
        <v>77</v>
      </c>
      <c r="E1230" s="908" t="s">
        <v>82</v>
      </c>
      <c r="F1230" s="909" t="s">
        <v>83</v>
      </c>
      <c r="G1230" s="355" t="s">
        <v>84</v>
      </c>
    </row>
    <row r="1231" spans="1:9" ht="15" customHeight="1">
      <c r="A1231" s="1141">
        <v>88248</v>
      </c>
      <c r="B1231" s="1151" t="s">
        <v>307</v>
      </c>
      <c r="C1231" s="293" t="s">
        <v>104</v>
      </c>
      <c r="D1231" s="1131" t="s">
        <v>383</v>
      </c>
      <c r="E1231" s="1149">
        <v>0.44</v>
      </c>
      <c r="F1231" s="831">
        <f>'COMP AUX'!G321</f>
        <v>10.98</v>
      </c>
      <c r="G1231" s="358">
        <f>TRUNC(E1231*F1231,2)</f>
        <v>4.83</v>
      </c>
    </row>
    <row r="1232" spans="1:9" ht="15" customHeight="1">
      <c r="A1232" s="1142"/>
      <c r="B1232" s="1152"/>
      <c r="C1232" s="293" t="s">
        <v>87</v>
      </c>
      <c r="D1232" s="1131"/>
      <c r="E1232" s="1150"/>
      <c r="F1232" s="831">
        <f>'COMP AUX'!G322</f>
        <v>4.4000000000000004</v>
      </c>
      <c r="G1232" s="312">
        <f>TRUNC(E1231*F1232,2)</f>
        <v>1.93</v>
      </c>
    </row>
    <row r="1233" spans="1:9" ht="15" customHeight="1">
      <c r="A1233" s="1141">
        <v>88267</v>
      </c>
      <c r="B1233" s="1151" t="s">
        <v>2859</v>
      </c>
      <c r="C1233" s="293" t="s">
        <v>104</v>
      </c>
      <c r="D1233" s="1153" t="s">
        <v>383</v>
      </c>
      <c r="E1233" s="1149">
        <v>0.44</v>
      </c>
      <c r="F1233" s="831">
        <f>'COMP AUX'!G338</f>
        <v>15.5</v>
      </c>
      <c r="G1233" s="312">
        <f>TRUNC(E1233:E1233*F1233,2)</f>
        <v>6.82</v>
      </c>
    </row>
    <row r="1234" spans="1:9" ht="15" customHeight="1">
      <c r="A1234" s="1142"/>
      <c r="B1234" s="1152"/>
      <c r="C1234" s="293" t="s">
        <v>87</v>
      </c>
      <c r="D1234" s="1154"/>
      <c r="E1234" s="1150"/>
      <c r="F1234" s="831">
        <f>'COMP AUX'!G339</f>
        <v>4.4000000000000004</v>
      </c>
      <c r="G1234" s="312">
        <f>TRUNC(E1233:E1233*F1234,2)</f>
        <v>1.93</v>
      </c>
    </row>
    <row r="1235" spans="1:9" ht="39" customHeight="1">
      <c r="A1235" s="354">
        <v>9869</v>
      </c>
      <c r="B1235" s="967" t="s">
        <v>2894</v>
      </c>
      <c r="C1235" s="293" t="s">
        <v>87</v>
      </c>
      <c r="D1235" s="909" t="s">
        <v>2713</v>
      </c>
      <c r="E1235" s="966">
        <v>1.0609999999999999</v>
      </c>
      <c r="F1235" s="831">
        <v>6.33</v>
      </c>
      <c r="G1235" s="312">
        <f>TRUNC(E1235*F1235,2)</f>
        <v>6.71</v>
      </c>
    </row>
    <row r="1236" spans="1:9" ht="39" customHeight="1">
      <c r="A1236" s="945">
        <v>38383</v>
      </c>
      <c r="B1236" s="968" t="s">
        <v>1665</v>
      </c>
      <c r="C1236" s="293" t="s">
        <v>87</v>
      </c>
      <c r="D1236" s="293" t="s">
        <v>2713</v>
      </c>
      <c r="E1236" s="966">
        <v>0.14699999999999999</v>
      </c>
      <c r="F1236" s="831">
        <v>1.99</v>
      </c>
      <c r="G1236" s="312">
        <f>TRUNC(E1236*F1236,2)</f>
        <v>0.28999999999999998</v>
      </c>
    </row>
    <row r="1237" spans="1:9" ht="15" customHeight="1">
      <c r="F1237" s="360" t="s">
        <v>90</v>
      </c>
      <c r="G1237" s="322">
        <f>SUM(G1231,G1233)</f>
        <v>11.65</v>
      </c>
    </row>
    <row r="1238" spans="1:9" ht="15" customHeight="1">
      <c r="F1238" s="301" t="s">
        <v>92</v>
      </c>
      <c r="G1238" s="312">
        <f>SUM(G1232,G1234,G1235,G1236)</f>
        <v>10.86</v>
      </c>
    </row>
    <row r="1239" spans="1:9" ht="15" customHeight="1">
      <c r="A1239" s="122" t="s">
        <v>94</v>
      </c>
      <c r="F1239" s="301" t="s">
        <v>93</v>
      </c>
      <c r="G1239" s="820">
        <f>SUM(G1237:G1238)</f>
        <v>22.509999999999998</v>
      </c>
    </row>
    <row r="1240" spans="1:9" ht="15" customHeight="1">
      <c r="A1240" s="300" t="s">
        <v>95</v>
      </c>
      <c r="B1240" s="385">
        <f>G1239</f>
        <v>22.509999999999998</v>
      </c>
    </row>
    <row r="1241" spans="1:9" ht="15" customHeight="1">
      <c r="A1241" s="382" t="s">
        <v>2272</v>
      </c>
      <c r="B1241" s="381"/>
    </row>
    <row r="1242" spans="1:9" ht="15" customHeight="1">
      <c r="A1242" s="443" t="s">
        <v>2311</v>
      </c>
      <c r="B1242" s="381">
        <f>(B1240+B1241)*0.245</f>
        <v>5.5149499999999998</v>
      </c>
    </row>
    <row r="1243" spans="1:9" ht="15" customHeight="1">
      <c r="A1243" s="300" t="s">
        <v>98</v>
      </c>
      <c r="B1243" s="386">
        <f>SUM(B1240:B1242)</f>
        <v>28.024949999999997</v>
      </c>
      <c r="H1243" s="394"/>
      <c r="I1243" s="122" t="s">
        <v>2277</v>
      </c>
    </row>
    <row r="1244" spans="1:9" ht="11.25" customHeight="1">
      <c r="A1244" s="362"/>
      <c r="B1244" s="363"/>
      <c r="C1244" s="364"/>
      <c r="D1244" s="362"/>
      <c r="E1244" s="363"/>
      <c r="F1244" s="363"/>
      <c r="G1244" s="363"/>
      <c r="H1244" s="362"/>
    </row>
    <row r="1245" spans="1:9" ht="11.25" customHeight="1"/>
    <row r="1246" spans="1:9" ht="11.25" customHeight="1">
      <c r="A1246" s="826" t="s">
        <v>2709</v>
      </c>
    </row>
    <row r="1247" spans="1:9" ht="11.25" customHeight="1">
      <c r="A1247" s="148" t="s">
        <v>2895</v>
      </c>
    </row>
    <row r="1248" spans="1:9" ht="24.75" customHeight="1">
      <c r="A1248" s="352" t="s">
        <v>1450</v>
      </c>
      <c r="B1248" s="965" t="s">
        <v>1658</v>
      </c>
      <c r="C1248" s="494" t="s">
        <v>2713</v>
      </c>
      <c r="D1248" s="352"/>
      <c r="E1248" s="122"/>
      <c r="F1248" s="122"/>
      <c r="G1248" s="353"/>
    </row>
    <row r="1249" spans="1:9" ht="26.25" customHeight="1">
      <c r="A1249" s="945" t="s">
        <v>30</v>
      </c>
      <c r="B1249" s="354" t="s">
        <v>19</v>
      </c>
      <c r="C1249" s="293" t="s">
        <v>81</v>
      </c>
      <c r="D1249" s="908" t="s">
        <v>77</v>
      </c>
      <c r="E1249" s="908" t="s">
        <v>82</v>
      </c>
      <c r="F1249" s="909" t="s">
        <v>83</v>
      </c>
      <c r="G1249" s="355" t="s">
        <v>84</v>
      </c>
    </row>
    <row r="1250" spans="1:9" ht="15" customHeight="1">
      <c r="A1250" s="1141">
        <v>88248</v>
      </c>
      <c r="B1250" s="1151" t="s">
        <v>307</v>
      </c>
      <c r="C1250" s="293" t="s">
        <v>104</v>
      </c>
      <c r="D1250" s="1131" t="s">
        <v>383</v>
      </c>
      <c r="E1250" s="1149">
        <v>0.36899999999999999</v>
      </c>
      <c r="F1250" s="831">
        <f>'COMP AUX'!G321</f>
        <v>10.98</v>
      </c>
      <c r="G1250" s="358">
        <f>TRUNC(E1250*F1250,2)</f>
        <v>4.05</v>
      </c>
    </row>
    <row r="1251" spans="1:9" ht="15" customHeight="1">
      <c r="A1251" s="1142"/>
      <c r="B1251" s="1152"/>
      <c r="C1251" s="293" t="s">
        <v>87</v>
      </c>
      <c r="D1251" s="1131"/>
      <c r="E1251" s="1150"/>
      <c r="F1251" s="831">
        <f>'COMP AUX'!G322</f>
        <v>4.4000000000000004</v>
      </c>
      <c r="G1251" s="312">
        <f>TRUNC(E1250*F1251,2)</f>
        <v>1.62</v>
      </c>
    </row>
    <row r="1252" spans="1:9" ht="15" customHeight="1">
      <c r="A1252" s="1141">
        <v>88267</v>
      </c>
      <c r="B1252" s="1151" t="s">
        <v>2859</v>
      </c>
      <c r="C1252" s="293" t="s">
        <v>104</v>
      </c>
      <c r="D1252" s="1153" t="s">
        <v>383</v>
      </c>
      <c r="E1252" s="1149">
        <v>0.36899999999999999</v>
      </c>
      <c r="F1252" s="831">
        <f>'COMP AUX'!G338</f>
        <v>15.5</v>
      </c>
      <c r="G1252" s="312">
        <f>TRUNC(E1252:E1252*F1252,2)</f>
        <v>5.71</v>
      </c>
    </row>
    <row r="1253" spans="1:9" ht="15" customHeight="1">
      <c r="A1253" s="1142"/>
      <c r="B1253" s="1152"/>
      <c r="C1253" s="293" t="s">
        <v>87</v>
      </c>
      <c r="D1253" s="1154"/>
      <c r="E1253" s="1150"/>
      <c r="F1253" s="831">
        <f>'COMP AUX'!G339</f>
        <v>4.4000000000000004</v>
      </c>
      <c r="G1253" s="312">
        <f>TRUNC(E1252:E1252*F1253,2)</f>
        <v>1.62</v>
      </c>
    </row>
    <row r="1254" spans="1:9" ht="39" customHeight="1">
      <c r="A1254" s="354">
        <v>9868</v>
      </c>
      <c r="B1254" s="967" t="s">
        <v>1664</v>
      </c>
      <c r="C1254" s="293" t="s">
        <v>87</v>
      </c>
      <c r="D1254" s="909" t="s">
        <v>2713</v>
      </c>
      <c r="E1254" s="966">
        <v>1.0609999999999999</v>
      </c>
      <c r="F1254" s="831">
        <v>2.82</v>
      </c>
      <c r="G1254" s="312">
        <f>TRUNC(E1254*F1254,2)</f>
        <v>2.99</v>
      </c>
    </row>
    <row r="1255" spans="1:9" ht="39" customHeight="1">
      <c r="A1255" s="945">
        <v>38383</v>
      </c>
      <c r="B1255" s="968" t="s">
        <v>1665</v>
      </c>
      <c r="C1255" s="293" t="s">
        <v>87</v>
      </c>
      <c r="D1255" s="293" t="s">
        <v>2713</v>
      </c>
      <c r="E1255" s="966">
        <v>0.123</v>
      </c>
      <c r="F1255" s="831">
        <v>1.99</v>
      </c>
      <c r="G1255" s="312">
        <f>TRUNC(E1255*F1255,2)</f>
        <v>0.24</v>
      </c>
    </row>
    <row r="1256" spans="1:9" ht="15" customHeight="1">
      <c r="F1256" s="360" t="s">
        <v>90</v>
      </c>
      <c r="G1256" s="322">
        <f>SUM(G1250,G1252)</f>
        <v>9.76</v>
      </c>
    </row>
    <row r="1257" spans="1:9" ht="15" customHeight="1">
      <c r="F1257" s="301" t="s">
        <v>92</v>
      </c>
      <c r="G1257" s="312">
        <f>SUM(G1251,G1253,G1254,G1255)</f>
        <v>6.4700000000000006</v>
      </c>
    </row>
    <row r="1258" spans="1:9" ht="15" customHeight="1">
      <c r="A1258" s="122" t="s">
        <v>94</v>
      </c>
      <c r="F1258" s="301" t="s">
        <v>93</v>
      </c>
      <c r="G1258" s="820">
        <f>SUM(G1256:G1257)</f>
        <v>16.23</v>
      </c>
    </row>
    <row r="1259" spans="1:9" ht="15" customHeight="1">
      <c r="A1259" s="300" t="s">
        <v>95</v>
      </c>
      <c r="B1259" s="385">
        <f>G1258</f>
        <v>16.23</v>
      </c>
    </row>
    <row r="1260" spans="1:9" ht="15" customHeight="1">
      <c r="A1260" s="382" t="s">
        <v>2272</v>
      </c>
      <c r="B1260" s="381"/>
    </row>
    <row r="1261" spans="1:9" ht="15" customHeight="1">
      <c r="A1261" s="443" t="s">
        <v>2311</v>
      </c>
      <c r="B1261" s="381">
        <f>(B1259+B1260)*0.245</f>
        <v>3.9763500000000001</v>
      </c>
    </row>
    <row r="1262" spans="1:9" ht="15" customHeight="1">
      <c r="A1262" s="300" t="s">
        <v>98</v>
      </c>
      <c r="B1262" s="386">
        <f>SUM(B1259:B1261)</f>
        <v>20.20635</v>
      </c>
      <c r="H1262" s="394"/>
      <c r="I1262" s="122" t="s">
        <v>2277</v>
      </c>
    </row>
    <row r="1263" spans="1:9" ht="11.25" customHeight="1">
      <c r="A1263" s="362"/>
      <c r="B1263" s="363"/>
      <c r="C1263" s="364"/>
      <c r="D1263" s="362"/>
      <c r="E1263" s="363"/>
      <c r="F1263" s="363"/>
      <c r="G1263" s="363"/>
      <c r="H1263" s="362"/>
    </row>
    <row r="1264" spans="1:9" ht="11.25" customHeight="1"/>
    <row r="1265" spans="1:8" ht="11.25" customHeight="1">
      <c r="A1265" s="122" t="s">
        <v>1194</v>
      </c>
    </row>
    <row r="1266" spans="1:8" ht="11.25" customHeight="1">
      <c r="A1266" s="148" t="s">
        <v>2677</v>
      </c>
    </row>
    <row r="1267" spans="1:8" ht="26.25" customHeight="1">
      <c r="A1267" s="352" t="s">
        <v>1450</v>
      </c>
      <c r="B1267" s="1161" t="s">
        <v>2676</v>
      </c>
      <c r="C1267" s="1161"/>
      <c r="D1267" s="494" t="s">
        <v>1487</v>
      </c>
      <c r="E1267" s="122"/>
      <c r="F1267" s="122"/>
      <c r="G1267" s="353"/>
    </row>
    <row r="1268" spans="1:8" ht="24.75" customHeight="1">
      <c r="A1268" s="309" t="s">
        <v>30</v>
      </c>
      <c r="B1268" s="354" t="s">
        <v>19</v>
      </c>
      <c r="C1268" s="293" t="s">
        <v>81</v>
      </c>
      <c r="D1268" s="294" t="s">
        <v>77</v>
      </c>
      <c r="E1268" s="294" t="s">
        <v>82</v>
      </c>
      <c r="F1268" s="295" t="s">
        <v>83</v>
      </c>
      <c r="G1268" s="355" t="s">
        <v>84</v>
      </c>
    </row>
    <row r="1269" spans="1:8" ht="14.1" customHeight="1">
      <c r="A1269" s="1141" t="s">
        <v>1322</v>
      </c>
      <c r="B1269" s="1129" t="s">
        <v>110</v>
      </c>
      <c r="C1269" s="293" t="s">
        <v>104</v>
      </c>
      <c r="D1269" s="1131" t="s">
        <v>383</v>
      </c>
      <c r="E1269" s="1162">
        <v>4</v>
      </c>
      <c r="F1269" s="298">
        <f>'COMP AUX'!G104</f>
        <v>11.18</v>
      </c>
      <c r="G1269" s="358">
        <f>TRUNC(E1269*F1269,2)</f>
        <v>44.72</v>
      </c>
    </row>
    <row r="1270" spans="1:8" ht="14.1" customHeight="1">
      <c r="A1270" s="1142"/>
      <c r="B1270" s="1130"/>
      <c r="C1270" s="293" t="s">
        <v>87</v>
      </c>
      <c r="D1270" s="1131"/>
      <c r="E1270" s="1163"/>
      <c r="F1270" s="298">
        <f>'COMP AUX'!G105</f>
        <v>4.7300000000000004</v>
      </c>
      <c r="G1270" s="312">
        <f>TRUNC(E1269*F1270,2)</f>
        <v>18.920000000000002</v>
      </c>
    </row>
    <row r="1271" spans="1:8" ht="14.1" customHeight="1">
      <c r="A1271" s="1141">
        <v>88262</v>
      </c>
      <c r="B1271" s="1129" t="s">
        <v>1701</v>
      </c>
      <c r="C1271" s="293" t="s">
        <v>104</v>
      </c>
      <c r="D1271" s="1153" t="s">
        <v>383</v>
      </c>
      <c r="E1271" s="1162">
        <v>4</v>
      </c>
      <c r="F1271" s="298">
        <f>'COMP AUX'!G440</f>
        <v>14.99</v>
      </c>
      <c r="G1271" s="312">
        <f>TRUNC(E1271:E1271*F1271,2)</f>
        <v>59.96</v>
      </c>
    </row>
    <row r="1272" spans="1:8" ht="14.1" customHeight="1">
      <c r="A1272" s="1142"/>
      <c r="B1272" s="1130"/>
      <c r="C1272" s="293" t="s">
        <v>87</v>
      </c>
      <c r="D1272" s="1154"/>
      <c r="E1272" s="1163"/>
      <c r="F1272" s="298">
        <f>'COMP AUX'!G441</f>
        <v>4.79</v>
      </c>
      <c r="G1272" s="312">
        <f>TRUNC(E1271:E1271*F1272,2)</f>
        <v>19.16</v>
      </c>
    </row>
    <row r="1273" spans="1:8" ht="14.1" customHeight="1">
      <c r="A1273" s="565">
        <v>583</v>
      </c>
      <c r="B1273" s="331" t="s">
        <v>2675</v>
      </c>
      <c r="C1273" s="293" t="s">
        <v>87</v>
      </c>
      <c r="D1273" s="541" t="s">
        <v>1319</v>
      </c>
      <c r="E1273" s="540">
        <v>10.5</v>
      </c>
      <c r="F1273" s="298">
        <v>28.66</v>
      </c>
      <c r="G1273" s="312">
        <f>TRUNC(E1273*F1273,2)</f>
        <v>300.93</v>
      </c>
    </row>
    <row r="1274" spans="1:8" ht="14.1" customHeight="1">
      <c r="F1274" s="360" t="s">
        <v>90</v>
      </c>
      <c r="G1274" s="322">
        <f>G1269+G1271</f>
        <v>104.68</v>
      </c>
    </row>
    <row r="1275" spans="1:8" ht="14.1" customHeight="1">
      <c r="F1275" s="301" t="s">
        <v>92</v>
      </c>
      <c r="G1275" s="312">
        <f>G1270+G1272+G1273</f>
        <v>339.01</v>
      </c>
    </row>
    <row r="1276" spans="1:8" ht="14.1" customHeight="1">
      <c r="A1276" s="122" t="s">
        <v>94</v>
      </c>
      <c r="F1276" s="301" t="s">
        <v>93</v>
      </c>
      <c r="G1276" s="820">
        <f>SUM(G1274:G1275)</f>
        <v>443.69</v>
      </c>
    </row>
    <row r="1277" spans="1:8" ht="14.1" customHeight="1">
      <c r="A1277" s="300" t="s">
        <v>95</v>
      </c>
      <c r="B1277" s="385">
        <f>G1276</f>
        <v>443.69</v>
      </c>
    </row>
    <row r="1278" spans="1:8" ht="14.1" customHeight="1">
      <c r="A1278" s="382" t="s">
        <v>2272</v>
      </c>
      <c r="B1278" s="381"/>
    </row>
    <row r="1279" spans="1:8" ht="14.1" customHeight="1">
      <c r="A1279" s="443" t="s">
        <v>2311</v>
      </c>
      <c r="B1279" s="381">
        <f>(B1277+B1278)*0.245</f>
        <v>108.70405</v>
      </c>
    </row>
    <row r="1280" spans="1:8" ht="14.1" customHeight="1">
      <c r="A1280" s="300" t="s">
        <v>98</v>
      </c>
      <c r="B1280" s="386">
        <f>SUM(B1277:B1279)</f>
        <v>552.39404999999999</v>
      </c>
      <c r="H1280" s="394"/>
    </row>
    <row r="1281" spans="1:10" ht="11.25" customHeight="1">
      <c r="A1281" s="362"/>
      <c r="B1281" s="363"/>
      <c r="C1281" s="364"/>
      <c r="D1281" s="362"/>
      <c r="E1281" s="363"/>
      <c r="F1281" s="363"/>
      <c r="G1281" s="363"/>
      <c r="H1281" s="362"/>
    </row>
    <row r="1282" spans="1:10" ht="11.25" customHeight="1"/>
    <row r="1283" spans="1:10" ht="13.5" customHeight="1">
      <c r="A1283" s="826" t="s">
        <v>2709</v>
      </c>
    </row>
    <row r="1284" spans="1:10" ht="13.5" customHeight="1">
      <c r="A1284" s="148" t="s">
        <v>2497</v>
      </c>
    </row>
    <row r="1285" spans="1:10" ht="15.75" customHeight="1">
      <c r="A1285" s="352" t="s">
        <v>1450</v>
      </c>
      <c r="B1285" s="352" t="s">
        <v>2496</v>
      </c>
      <c r="C1285" s="494" t="s">
        <v>1487</v>
      </c>
      <c r="D1285" s="352"/>
      <c r="E1285" s="122"/>
      <c r="F1285" s="122"/>
      <c r="G1285" s="353"/>
      <c r="J1285" s="122">
        <v>72118</v>
      </c>
    </row>
    <row r="1286" spans="1:10" ht="24.75" customHeight="1">
      <c r="A1286" s="309" t="s">
        <v>30</v>
      </c>
      <c r="B1286" s="354" t="s">
        <v>19</v>
      </c>
      <c r="C1286" s="293" t="s">
        <v>81</v>
      </c>
      <c r="D1286" s="294" t="s">
        <v>77</v>
      </c>
      <c r="E1286" s="294" t="s">
        <v>82</v>
      </c>
      <c r="F1286" s="295" t="s">
        <v>83</v>
      </c>
      <c r="G1286" s="355" t="s">
        <v>84</v>
      </c>
    </row>
    <row r="1287" spans="1:10" ht="15" customHeight="1">
      <c r="A1287" s="1141" t="s">
        <v>1322</v>
      </c>
      <c r="B1287" s="1129" t="s">
        <v>110</v>
      </c>
      <c r="C1287" s="293" t="s">
        <v>104</v>
      </c>
      <c r="D1287" s="1131" t="s">
        <v>383</v>
      </c>
      <c r="E1287" s="1162">
        <v>0.5</v>
      </c>
      <c r="F1287" s="825">
        <f>'COMP AUX'!G104</f>
        <v>11.18</v>
      </c>
      <c r="G1287" s="358">
        <f>TRUNC(E1287*F1287,2)</f>
        <v>5.59</v>
      </c>
    </row>
    <row r="1288" spans="1:10" ht="15" customHeight="1">
      <c r="A1288" s="1142"/>
      <c r="B1288" s="1130"/>
      <c r="C1288" s="293" t="s">
        <v>87</v>
      </c>
      <c r="D1288" s="1131"/>
      <c r="E1288" s="1163"/>
      <c r="F1288" s="825">
        <f>'COMP AUX'!G105</f>
        <v>4.7300000000000004</v>
      </c>
      <c r="G1288" s="312">
        <f>TRUNC(E1287*F1288,2)</f>
        <v>2.36</v>
      </c>
    </row>
    <row r="1289" spans="1:10" ht="15" customHeight="1">
      <c r="A1289" s="1141">
        <v>88325</v>
      </c>
      <c r="B1289" s="1129" t="s">
        <v>2500</v>
      </c>
      <c r="C1289" s="293" t="s">
        <v>104</v>
      </c>
      <c r="D1289" s="1153" t="s">
        <v>383</v>
      </c>
      <c r="E1289" s="1162">
        <v>0.5</v>
      </c>
      <c r="F1289" s="825">
        <f>'COMP AUX'!G423</f>
        <v>14.31</v>
      </c>
      <c r="G1289" s="312">
        <f>TRUNC(E1289:E1289*F1289,2)</f>
        <v>7.15</v>
      </c>
    </row>
    <row r="1290" spans="1:10" ht="15" customHeight="1">
      <c r="A1290" s="1142"/>
      <c r="B1290" s="1130"/>
      <c r="C1290" s="293" t="s">
        <v>87</v>
      </c>
      <c r="D1290" s="1154"/>
      <c r="E1290" s="1163"/>
      <c r="F1290" s="825">
        <f>'COMP AUX'!G424</f>
        <v>4.79</v>
      </c>
      <c r="G1290" s="312">
        <f>TRUNC(E1289:E1289*F1290,2)</f>
        <v>2.39</v>
      </c>
    </row>
    <row r="1291" spans="1:10" ht="15" customHeight="1">
      <c r="A1291" s="565">
        <v>10498</v>
      </c>
      <c r="B1291" s="331" t="s">
        <v>2499</v>
      </c>
      <c r="C1291" s="293" t="s">
        <v>87</v>
      </c>
      <c r="D1291" s="541" t="s">
        <v>1319</v>
      </c>
      <c r="E1291" s="540">
        <v>1.5</v>
      </c>
      <c r="F1291" s="825">
        <v>7.06</v>
      </c>
      <c r="G1291" s="312">
        <f>TRUNC(E1291*F1291,2)</f>
        <v>10.59</v>
      </c>
    </row>
    <row r="1292" spans="1:10" ht="24" customHeight="1">
      <c r="A1292" s="354">
        <v>10496</v>
      </c>
      <c r="B1292" s="345" t="s">
        <v>2501</v>
      </c>
      <c r="C1292" s="293" t="s">
        <v>87</v>
      </c>
      <c r="D1292" s="295" t="s">
        <v>1487</v>
      </c>
      <c r="E1292" s="311">
        <v>1</v>
      </c>
      <c r="F1292" s="825">
        <v>463.05</v>
      </c>
      <c r="G1292" s="312">
        <f t="shared" ref="G1292" si="53">TRUNC(E1292*F1292,2)</f>
        <v>463.05</v>
      </c>
    </row>
    <row r="1293" spans="1:10" ht="15" customHeight="1">
      <c r="F1293" s="360" t="s">
        <v>90</v>
      </c>
      <c r="G1293" s="322">
        <f>G1287+G1289</f>
        <v>12.74</v>
      </c>
    </row>
    <row r="1294" spans="1:10" ht="15" customHeight="1">
      <c r="F1294" s="301" t="s">
        <v>92</v>
      </c>
      <c r="G1294" s="312">
        <f>G1288+G1290+G1291+G1292</f>
        <v>478.39</v>
      </c>
    </row>
    <row r="1295" spans="1:10" ht="15" customHeight="1">
      <c r="A1295" s="122" t="s">
        <v>94</v>
      </c>
      <c r="F1295" s="301" t="s">
        <v>93</v>
      </c>
      <c r="G1295" s="820">
        <f>SUM(G1293:G1294)</f>
        <v>491.13</v>
      </c>
    </row>
    <row r="1296" spans="1:10" ht="15" customHeight="1">
      <c r="A1296" s="300" t="s">
        <v>95</v>
      </c>
      <c r="B1296" s="385">
        <f>G1295</f>
        <v>491.13</v>
      </c>
    </row>
    <row r="1297" spans="1:8" ht="15" customHeight="1">
      <c r="A1297" s="382" t="s">
        <v>2272</v>
      </c>
      <c r="B1297" s="381"/>
    </row>
    <row r="1298" spans="1:8" ht="15" customHeight="1">
      <c r="A1298" s="443" t="s">
        <v>2311</v>
      </c>
      <c r="B1298" s="381">
        <f>(B1296+B1297)*0.245</f>
        <v>120.32684999999999</v>
      </c>
    </row>
    <row r="1299" spans="1:8" ht="15" customHeight="1">
      <c r="A1299" s="300" t="s">
        <v>98</v>
      </c>
      <c r="B1299" s="386">
        <f>SUM(B1296:B1298)</f>
        <v>611.45685000000003</v>
      </c>
      <c r="H1299" s="394"/>
    </row>
    <row r="1300" spans="1:8" ht="11.25" customHeight="1">
      <c r="A1300" s="362"/>
      <c r="B1300" s="363"/>
      <c r="C1300" s="364"/>
      <c r="D1300" s="362"/>
      <c r="E1300" s="363"/>
      <c r="F1300" s="363"/>
      <c r="G1300" s="363"/>
      <c r="H1300" s="362"/>
    </row>
    <row r="1301" spans="1:8" ht="11.25" customHeight="1"/>
    <row r="1302" spans="1:8" ht="11.25" customHeight="1">
      <c r="A1302" s="826" t="s">
        <v>2709</v>
      </c>
    </row>
    <row r="1303" spans="1:8" ht="11.25" customHeight="1">
      <c r="A1303" s="849" t="s">
        <v>2508</v>
      </c>
    </row>
    <row r="1304" spans="1:8" ht="15" customHeight="1">
      <c r="A1304" s="352" t="s">
        <v>1450</v>
      </c>
      <c r="B1304" s="352" t="s">
        <v>2511</v>
      </c>
      <c r="C1304" s="494" t="s">
        <v>1487</v>
      </c>
      <c r="D1304" s="352"/>
      <c r="E1304" s="122"/>
      <c r="F1304" s="122"/>
      <c r="G1304" s="353"/>
    </row>
    <row r="1305" spans="1:8" ht="21" customHeight="1">
      <c r="A1305" s="309" t="s">
        <v>30</v>
      </c>
      <c r="B1305" s="354" t="s">
        <v>19</v>
      </c>
      <c r="C1305" s="293" t="s">
        <v>81</v>
      </c>
      <c r="D1305" s="294" t="s">
        <v>77</v>
      </c>
      <c r="E1305" s="294" t="s">
        <v>82</v>
      </c>
      <c r="F1305" s="295" t="s">
        <v>83</v>
      </c>
      <c r="G1305" s="355" t="s">
        <v>84</v>
      </c>
    </row>
    <row r="1306" spans="1:8" ht="14.1" customHeight="1">
      <c r="A1306" s="1141" t="s">
        <v>1322</v>
      </c>
      <c r="B1306" s="1129" t="s">
        <v>110</v>
      </c>
      <c r="C1306" s="293" t="s">
        <v>104</v>
      </c>
      <c r="D1306" s="1131" t="s">
        <v>383</v>
      </c>
      <c r="E1306" s="1162">
        <v>0.2</v>
      </c>
      <c r="F1306" s="825">
        <f>'COMP AUX'!G104</f>
        <v>11.18</v>
      </c>
      <c r="G1306" s="358">
        <f>TRUNC(E1306*F1306,2)</f>
        <v>2.23</v>
      </c>
    </row>
    <row r="1307" spans="1:8" ht="14.1" customHeight="1">
      <c r="A1307" s="1142"/>
      <c r="B1307" s="1130"/>
      <c r="C1307" s="293" t="s">
        <v>87</v>
      </c>
      <c r="D1307" s="1131"/>
      <c r="E1307" s="1163"/>
      <c r="F1307" s="825">
        <f>'COMP AUX'!G105</f>
        <v>4.7300000000000004</v>
      </c>
      <c r="G1307" s="312">
        <f>TRUNC(E1306*F1307,2)</f>
        <v>0.94</v>
      </c>
    </row>
    <row r="1308" spans="1:8" ht="14.1" customHeight="1">
      <c r="A1308" s="1141">
        <v>88325</v>
      </c>
      <c r="B1308" s="1129" t="s">
        <v>2500</v>
      </c>
      <c r="C1308" s="293" t="s">
        <v>104</v>
      </c>
      <c r="D1308" s="1153" t="s">
        <v>383</v>
      </c>
      <c r="E1308" s="1162">
        <v>1</v>
      </c>
      <c r="F1308" s="825">
        <f>'COMP AUX'!G423</f>
        <v>14.31</v>
      </c>
      <c r="G1308" s="312">
        <f>TRUNC(E1308:E1308*F1308,2)</f>
        <v>14.31</v>
      </c>
    </row>
    <row r="1309" spans="1:8" ht="14.1" customHeight="1">
      <c r="A1309" s="1142"/>
      <c r="B1309" s="1130"/>
      <c r="C1309" s="293" t="s">
        <v>87</v>
      </c>
      <c r="D1309" s="1154"/>
      <c r="E1309" s="1163"/>
      <c r="F1309" s="825">
        <f>'COMP AUX'!G424</f>
        <v>4.79</v>
      </c>
      <c r="G1309" s="312">
        <f>TRUNC(E1308:E1308*F1309,2)</f>
        <v>4.79</v>
      </c>
    </row>
    <row r="1310" spans="1:8" ht="14.1" customHeight="1">
      <c r="A1310" s="565" t="s">
        <v>2498</v>
      </c>
      <c r="B1310" s="331" t="s">
        <v>2499</v>
      </c>
      <c r="C1310" s="293" t="s">
        <v>87</v>
      </c>
      <c r="D1310" s="541" t="s">
        <v>1319</v>
      </c>
      <c r="E1310" s="540">
        <v>2</v>
      </c>
      <c r="F1310" s="825">
        <v>7.06</v>
      </c>
      <c r="G1310" s="312">
        <f>TRUNC(E1310*F1310,2)</f>
        <v>14.12</v>
      </c>
    </row>
    <row r="1311" spans="1:8" ht="16.5" customHeight="1">
      <c r="A1311" s="354">
        <v>34385</v>
      </c>
      <c r="B1311" s="345" t="s">
        <v>2514</v>
      </c>
      <c r="C1311" s="293" t="s">
        <v>87</v>
      </c>
      <c r="D1311" s="295" t="s">
        <v>1487</v>
      </c>
      <c r="E1311" s="311">
        <v>1</v>
      </c>
      <c r="F1311" s="825">
        <v>229.67</v>
      </c>
      <c r="G1311" s="312">
        <f t="shared" ref="G1311" si="54">TRUNC(E1311*F1311,2)</f>
        <v>229.67</v>
      </c>
    </row>
    <row r="1312" spans="1:8" ht="14.1" customHeight="1">
      <c r="F1312" s="360" t="s">
        <v>90</v>
      </c>
      <c r="G1312" s="322">
        <f>G1306+G1308</f>
        <v>16.54</v>
      </c>
    </row>
    <row r="1313" spans="1:8" ht="14.1" customHeight="1">
      <c r="F1313" s="301" t="s">
        <v>92</v>
      </c>
      <c r="G1313" s="312">
        <f>G1307+G1309+G1310+G1311</f>
        <v>249.51999999999998</v>
      </c>
    </row>
    <row r="1314" spans="1:8" ht="14.1" customHeight="1">
      <c r="A1314" s="122" t="s">
        <v>94</v>
      </c>
      <c r="F1314" s="301" t="s">
        <v>93</v>
      </c>
      <c r="G1314" s="820">
        <f>SUM(G1312:G1313)</f>
        <v>266.06</v>
      </c>
    </row>
    <row r="1315" spans="1:8" ht="14.1" customHeight="1">
      <c r="A1315" s="300" t="s">
        <v>95</v>
      </c>
      <c r="B1315" s="385">
        <f>G1314</f>
        <v>266.06</v>
      </c>
    </row>
    <row r="1316" spans="1:8" ht="14.1" customHeight="1">
      <c r="A1316" s="382" t="s">
        <v>2272</v>
      </c>
      <c r="B1316" s="381"/>
    </row>
    <row r="1317" spans="1:8" ht="14.1" customHeight="1">
      <c r="A1317" s="443" t="s">
        <v>2311</v>
      </c>
      <c r="B1317" s="381">
        <f>(B1315+B1316)*0.245</f>
        <v>65.184699999999992</v>
      </c>
    </row>
    <row r="1318" spans="1:8" ht="14.1" customHeight="1">
      <c r="A1318" s="300" t="s">
        <v>98</v>
      </c>
      <c r="B1318" s="386">
        <f>SUM(B1315:B1317)</f>
        <v>331.24469999999997</v>
      </c>
      <c r="H1318" s="394"/>
    </row>
    <row r="1319" spans="1:8" ht="11.25" customHeight="1">
      <c r="A1319" s="362"/>
      <c r="B1319" s="363"/>
      <c r="C1319" s="364"/>
      <c r="D1319" s="362"/>
      <c r="E1319" s="363"/>
      <c r="F1319" s="363"/>
      <c r="G1319" s="363"/>
      <c r="H1319" s="362"/>
    </row>
    <row r="1320" spans="1:8" ht="11.25" customHeight="1"/>
    <row r="1321" spans="1:8" ht="11.25" customHeight="1">
      <c r="A1321" s="826" t="s">
        <v>2709</v>
      </c>
    </row>
    <row r="1322" spans="1:8" ht="12.75" customHeight="1">
      <c r="A1322" s="148" t="s">
        <v>2513</v>
      </c>
    </row>
    <row r="1323" spans="1:8" ht="15.75" customHeight="1">
      <c r="A1323" s="352" t="s">
        <v>1450</v>
      </c>
      <c r="B1323" s="352" t="s">
        <v>2509</v>
      </c>
      <c r="C1323" s="494" t="s">
        <v>1487</v>
      </c>
      <c r="D1323" s="352"/>
      <c r="E1323" s="122"/>
      <c r="F1323" s="122"/>
      <c r="G1323" s="353"/>
    </row>
    <row r="1324" spans="1:8" ht="24" customHeight="1">
      <c r="A1324" s="309" t="s">
        <v>30</v>
      </c>
      <c r="B1324" s="354" t="s">
        <v>19</v>
      </c>
      <c r="C1324" s="293" t="s">
        <v>81</v>
      </c>
      <c r="D1324" s="294" t="s">
        <v>77</v>
      </c>
      <c r="E1324" s="294" t="s">
        <v>82</v>
      </c>
      <c r="F1324" s="295" t="s">
        <v>83</v>
      </c>
      <c r="G1324" s="355" t="s">
        <v>84</v>
      </c>
    </row>
    <row r="1325" spans="1:8" ht="14.1" customHeight="1">
      <c r="A1325" s="1141" t="s">
        <v>1322</v>
      </c>
      <c r="B1325" s="1129" t="s">
        <v>110</v>
      </c>
      <c r="C1325" s="293" t="s">
        <v>104</v>
      </c>
      <c r="D1325" s="1131" t="s">
        <v>383</v>
      </c>
      <c r="E1325" s="1162">
        <v>0.5</v>
      </c>
      <c r="F1325" s="825">
        <f>'COMP AUX'!G104</f>
        <v>11.18</v>
      </c>
      <c r="G1325" s="358">
        <f>TRUNC(E1325*F1325,2)</f>
        <v>5.59</v>
      </c>
    </row>
    <row r="1326" spans="1:8" ht="14.1" customHeight="1">
      <c r="A1326" s="1142"/>
      <c r="B1326" s="1130"/>
      <c r="C1326" s="293" t="s">
        <v>87</v>
      </c>
      <c r="D1326" s="1131"/>
      <c r="E1326" s="1163"/>
      <c r="F1326" s="825">
        <f>'COMP AUX'!G105</f>
        <v>4.7300000000000004</v>
      </c>
      <c r="G1326" s="312">
        <f>TRUNC(E1325*F1326,2)</f>
        <v>2.36</v>
      </c>
    </row>
    <row r="1327" spans="1:8" ht="14.1" customHeight="1">
      <c r="A1327" s="1141">
        <v>88325</v>
      </c>
      <c r="B1327" s="1129" t="s">
        <v>2500</v>
      </c>
      <c r="C1327" s="293" t="s">
        <v>104</v>
      </c>
      <c r="D1327" s="1153" t="s">
        <v>383</v>
      </c>
      <c r="E1327" s="1162">
        <v>0.5</v>
      </c>
      <c r="F1327" s="825">
        <f>'COMP AUX'!G423</f>
        <v>14.31</v>
      </c>
      <c r="G1327" s="312">
        <f>TRUNC(E1327:E1327*F1327,2)</f>
        <v>7.15</v>
      </c>
    </row>
    <row r="1328" spans="1:8" ht="14.1" customHeight="1">
      <c r="A1328" s="1142"/>
      <c r="B1328" s="1130"/>
      <c r="C1328" s="293" t="s">
        <v>87</v>
      </c>
      <c r="D1328" s="1154"/>
      <c r="E1328" s="1163"/>
      <c r="F1328" s="825">
        <f>'COMP AUX'!G424</f>
        <v>4.79</v>
      </c>
      <c r="G1328" s="312">
        <f>TRUNC(E1327:E1327*F1328,2)</f>
        <v>2.39</v>
      </c>
    </row>
    <row r="1329" spans="1:8" ht="14.1" customHeight="1">
      <c r="A1329" s="565" t="s">
        <v>2498</v>
      </c>
      <c r="B1329" s="331" t="s">
        <v>2499</v>
      </c>
      <c r="C1329" s="293" t="s">
        <v>87</v>
      </c>
      <c r="D1329" s="541" t="s">
        <v>1319</v>
      </c>
      <c r="E1329" s="540">
        <v>1.5</v>
      </c>
      <c r="F1329" s="825">
        <v>7.06</v>
      </c>
      <c r="G1329" s="312">
        <f>TRUNC(E1329*F1329,2)</f>
        <v>10.59</v>
      </c>
    </row>
    <row r="1330" spans="1:8" ht="22.5" customHeight="1">
      <c r="A1330" s="354">
        <v>34391</v>
      </c>
      <c r="B1330" s="345" t="s">
        <v>2510</v>
      </c>
      <c r="C1330" s="293" t="s">
        <v>87</v>
      </c>
      <c r="D1330" s="295" t="s">
        <v>1487</v>
      </c>
      <c r="E1330" s="311">
        <v>1</v>
      </c>
      <c r="F1330" s="825">
        <v>531.94000000000005</v>
      </c>
      <c r="G1330" s="312">
        <f t="shared" ref="G1330" si="55">TRUNC(E1330*F1330,2)</f>
        <v>531.94000000000005</v>
      </c>
    </row>
    <row r="1331" spans="1:8" ht="14.1" customHeight="1">
      <c r="F1331" s="360" t="s">
        <v>90</v>
      </c>
      <c r="G1331" s="322">
        <f>G1325+G1327</f>
        <v>12.74</v>
      </c>
    </row>
    <row r="1332" spans="1:8" ht="14.1" customHeight="1">
      <c r="F1332" s="301" t="s">
        <v>92</v>
      </c>
      <c r="G1332" s="312">
        <f>G1326+G1328+G1329+G1330</f>
        <v>547.28000000000009</v>
      </c>
    </row>
    <row r="1333" spans="1:8" ht="14.1" customHeight="1">
      <c r="A1333" s="122" t="s">
        <v>94</v>
      </c>
      <c r="F1333" s="301" t="s">
        <v>93</v>
      </c>
      <c r="G1333" s="820">
        <f>SUM(G1331:G1332)</f>
        <v>560.0200000000001</v>
      </c>
    </row>
    <row r="1334" spans="1:8" ht="14.1" customHeight="1">
      <c r="A1334" s="300" t="s">
        <v>95</v>
      </c>
      <c r="B1334" s="385">
        <f>G1333</f>
        <v>560.0200000000001</v>
      </c>
    </row>
    <row r="1335" spans="1:8" ht="14.1" customHeight="1">
      <c r="A1335" s="382" t="s">
        <v>2272</v>
      </c>
      <c r="B1335" s="381"/>
    </row>
    <row r="1336" spans="1:8" ht="14.1" customHeight="1">
      <c r="A1336" s="443" t="s">
        <v>2311</v>
      </c>
      <c r="B1336" s="381">
        <f>(B1334+B1335)*0.245</f>
        <v>137.20490000000001</v>
      </c>
    </row>
    <row r="1337" spans="1:8" ht="14.1" customHeight="1">
      <c r="A1337" s="300" t="s">
        <v>98</v>
      </c>
      <c r="B1337" s="386">
        <f>SUM(B1334:B1336)</f>
        <v>697.22490000000016</v>
      </c>
      <c r="H1337" s="394"/>
    </row>
    <row r="1338" spans="1:8" ht="11.25" customHeight="1">
      <c r="A1338" s="362"/>
      <c r="B1338" s="363"/>
      <c r="C1338" s="364"/>
      <c r="D1338" s="362"/>
      <c r="E1338" s="363"/>
      <c r="F1338" s="363"/>
      <c r="G1338" s="363"/>
      <c r="H1338" s="362"/>
    </row>
    <row r="1339" spans="1:8" ht="11.25" customHeight="1"/>
    <row r="1340" spans="1:8" ht="11.25" customHeight="1">
      <c r="A1340" s="826" t="s">
        <v>2709</v>
      </c>
    </row>
    <row r="1341" spans="1:8" ht="16.5" customHeight="1">
      <c r="A1341" s="148" t="s">
        <v>1779</v>
      </c>
    </row>
    <row r="1342" spans="1:8" ht="27.75" customHeight="1">
      <c r="A1342" s="352" t="s">
        <v>1450</v>
      </c>
      <c r="B1342" s="1161" t="s">
        <v>1778</v>
      </c>
      <c r="C1342" s="1161"/>
      <c r="D1342" s="1161"/>
      <c r="E1342" s="290" t="s">
        <v>1316</v>
      </c>
      <c r="F1342" s="122"/>
      <c r="G1342" s="353"/>
    </row>
    <row r="1343" spans="1:8" ht="27" customHeight="1">
      <c r="A1343" s="309" t="s">
        <v>30</v>
      </c>
      <c r="B1343" s="354" t="s">
        <v>19</v>
      </c>
      <c r="C1343" s="293" t="s">
        <v>81</v>
      </c>
      <c r="D1343" s="294" t="s">
        <v>77</v>
      </c>
      <c r="E1343" s="294" t="s">
        <v>82</v>
      </c>
      <c r="F1343" s="295" t="s">
        <v>83</v>
      </c>
      <c r="G1343" s="355" t="s">
        <v>84</v>
      </c>
    </row>
    <row r="1344" spans="1:8" ht="15" customHeight="1">
      <c r="A1344" s="1141" t="s">
        <v>1322</v>
      </c>
      <c r="B1344" s="1129" t="s">
        <v>110</v>
      </c>
      <c r="C1344" s="293" t="s">
        <v>104</v>
      </c>
      <c r="D1344" s="1131" t="s">
        <v>383</v>
      </c>
      <c r="E1344" s="1162">
        <v>0.35699999999999998</v>
      </c>
      <c r="F1344" s="825">
        <f>'COMP AUX'!G104</f>
        <v>11.18</v>
      </c>
      <c r="G1344" s="358">
        <f>TRUNC(E1344*F1344,2)</f>
        <v>3.99</v>
      </c>
    </row>
    <row r="1345" spans="1:7" ht="15" customHeight="1">
      <c r="A1345" s="1142"/>
      <c r="B1345" s="1130"/>
      <c r="C1345" s="293" t="s">
        <v>87</v>
      </c>
      <c r="D1345" s="1131"/>
      <c r="E1345" s="1163"/>
      <c r="F1345" s="825">
        <f>'COMP AUX'!G105</f>
        <v>4.7300000000000004</v>
      </c>
      <c r="G1345" s="312">
        <f>TRUNC(E1344*F1345,2)</f>
        <v>1.68</v>
      </c>
    </row>
    <row r="1346" spans="1:7" ht="15" customHeight="1">
      <c r="A1346" s="1141">
        <v>88262</v>
      </c>
      <c r="B1346" s="1129" t="s">
        <v>1751</v>
      </c>
      <c r="C1346" s="293" t="s">
        <v>104</v>
      </c>
      <c r="D1346" s="1153" t="s">
        <v>383</v>
      </c>
      <c r="E1346" s="1165">
        <v>0.13539999999999999</v>
      </c>
      <c r="F1346" s="825">
        <f>'COMP AUX'!G87</f>
        <v>14.92</v>
      </c>
      <c r="G1346" s="312">
        <f>TRUNC(E1346:E1346*F1346,2)</f>
        <v>2.02</v>
      </c>
    </row>
    <row r="1347" spans="1:7" ht="15" customHeight="1">
      <c r="A1347" s="1142"/>
      <c r="B1347" s="1130"/>
      <c r="C1347" s="293" t="s">
        <v>87</v>
      </c>
      <c r="D1347" s="1154"/>
      <c r="E1347" s="1166"/>
      <c r="F1347" s="825">
        <f>'COMP AUX'!G88</f>
        <v>4.75</v>
      </c>
      <c r="G1347" s="312">
        <f>TRUNC(E1346:E1346*F1347,2)</f>
        <v>0.64</v>
      </c>
    </row>
    <row r="1348" spans="1:7" ht="15" customHeight="1">
      <c r="A1348" s="1159">
        <v>88309</v>
      </c>
      <c r="B1348" s="1129" t="s">
        <v>118</v>
      </c>
      <c r="C1348" s="293" t="s">
        <v>104</v>
      </c>
      <c r="D1348" s="1155" t="s">
        <v>383</v>
      </c>
      <c r="E1348" s="1165">
        <v>0.22170000000000001</v>
      </c>
      <c r="F1348" s="825">
        <f>'COMP AUX'!G151</f>
        <v>15.020000000000001</v>
      </c>
      <c r="G1348" s="312">
        <f t="shared" ref="G1348" si="56">TRUNC(E1348*F1348,2)</f>
        <v>3.32</v>
      </c>
    </row>
    <row r="1349" spans="1:7" ht="15" customHeight="1">
      <c r="A1349" s="1160"/>
      <c r="B1349" s="1130"/>
      <c r="C1349" s="293" t="s">
        <v>87</v>
      </c>
      <c r="D1349" s="1156"/>
      <c r="E1349" s="1166"/>
      <c r="F1349" s="825">
        <f>'COMP AUX'!G152</f>
        <v>4.79</v>
      </c>
      <c r="G1349" s="312">
        <f>TRUNC(E1348*F1349,2)</f>
        <v>1.06</v>
      </c>
    </row>
    <row r="1350" spans="1:7" ht="15" customHeight="1">
      <c r="A1350" s="565">
        <v>3777</v>
      </c>
      <c r="B1350" s="331" t="s">
        <v>1781</v>
      </c>
      <c r="C1350" s="293" t="s">
        <v>87</v>
      </c>
      <c r="D1350" s="541" t="s">
        <v>1553</v>
      </c>
      <c r="E1350" s="540">
        <v>1.1279999999999999</v>
      </c>
      <c r="F1350" s="825">
        <v>0.92</v>
      </c>
      <c r="G1350" s="312">
        <f>TRUNC(E1350*F1350,2)</f>
        <v>1.03</v>
      </c>
    </row>
    <row r="1351" spans="1:7" ht="27" customHeight="1">
      <c r="A1351" s="565">
        <v>4517</v>
      </c>
      <c r="B1351" s="331" t="s">
        <v>1495</v>
      </c>
      <c r="C1351" s="293" t="s">
        <v>87</v>
      </c>
      <c r="D1351" s="541" t="s">
        <v>1553</v>
      </c>
      <c r="E1351" s="540">
        <v>0.45</v>
      </c>
      <c r="F1351" s="825">
        <v>2</v>
      </c>
      <c r="G1351" s="312">
        <f t="shared" ref="G1351:G1352" si="57">TRUNC(E1351*F1351,2)</f>
        <v>0.9</v>
      </c>
    </row>
    <row r="1352" spans="1:7" ht="39.75" customHeight="1">
      <c r="A1352" s="782">
        <v>7156</v>
      </c>
      <c r="B1352" s="345" t="s">
        <v>1782</v>
      </c>
      <c r="C1352" s="293" t="s">
        <v>87</v>
      </c>
      <c r="D1352" s="295" t="s">
        <v>1553</v>
      </c>
      <c r="E1352" s="326">
        <v>1.1224000000000001</v>
      </c>
      <c r="F1352" s="825">
        <v>19.86</v>
      </c>
      <c r="G1352" s="312">
        <f t="shared" si="57"/>
        <v>22.29</v>
      </c>
    </row>
    <row r="1353" spans="1:7" ht="15" customHeight="1">
      <c r="A1353" s="1141">
        <v>94964</v>
      </c>
      <c r="B1353" s="1129" t="s">
        <v>1783</v>
      </c>
      <c r="C1353" s="293" t="s">
        <v>104</v>
      </c>
      <c r="D1353" s="1155" t="s">
        <v>438</v>
      </c>
      <c r="E1353" s="1165">
        <v>7.2800000000000004E-2</v>
      </c>
      <c r="F1353" s="825">
        <f>'COMP AUX'!G889</f>
        <v>44.72</v>
      </c>
      <c r="G1353" s="312">
        <f>TRUNC(E1353*F1353,2)</f>
        <v>3.25</v>
      </c>
    </row>
    <row r="1354" spans="1:7" ht="15" customHeight="1">
      <c r="A1354" s="1142"/>
      <c r="B1354" s="1130"/>
      <c r="C1354" s="293" t="s">
        <v>87</v>
      </c>
      <c r="D1354" s="1156"/>
      <c r="E1354" s="1166"/>
      <c r="F1354" s="825">
        <f>'COMP AUX'!G890</f>
        <v>274.03000000000003</v>
      </c>
      <c r="G1354" s="312">
        <f>TRUNC(E1353*F1354,2)</f>
        <v>19.940000000000001</v>
      </c>
    </row>
    <row r="1355" spans="1:7" ht="15" customHeight="1">
      <c r="F1355" s="360" t="s">
        <v>90</v>
      </c>
      <c r="G1355" s="322">
        <f>G1344+G1346+G1348+G1353</f>
        <v>12.58</v>
      </c>
    </row>
    <row r="1356" spans="1:7" ht="15" customHeight="1">
      <c r="F1356" s="301" t="s">
        <v>92</v>
      </c>
      <c r="G1356" s="312">
        <f>G1345+G1347+G1349+G1350+G1351+G1352+G1354</f>
        <v>47.540000000000006</v>
      </c>
    </row>
    <row r="1357" spans="1:7" ht="15" customHeight="1">
      <c r="A1357" s="122" t="s">
        <v>94</v>
      </c>
      <c r="F1357" s="301" t="s">
        <v>93</v>
      </c>
      <c r="G1357" s="820">
        <f>SUM(G1355:G1356)</f>
        <v>60.120000000000005</v>
      </c>
    </row>
    <row r="1358" spans="1:7" ht="15" customHeight="1">
      <c r="A1358" s="300" t="s">
        <v>95</v>
      </c>
      <c r="B1358" s="385">
        <f>G1357</f>
        <v>60.120000000000005</v>
      </c>
    </row>
    <row r="1359" spans="1:7" ht="15" customHeight="1">
      <c r="A1359" s="382" t="s">
        <v>2272</v>
      </c>
      <c r="B1359" s="381"/>
    </row>
    <row r="1360" spans="1:7" ht="15" customHeight="1">
      <c r="A1360" s="443" t="s">
        <v>2311</v>
      </c>
      <c r="B1360" s="381">
        <f>(B1358+B1359)*0.245</f>
        <v>14.7294</v>
      </c>
    </row>
    <row r="1361" spans="1:9" ht="15" customHeight="1">
      <c r="A1361" s="300" t="s">
        <v>98</v>
      </c>
      <c r="B1361" s="386">
        <f>SUM(B1358:B1360)</f>
        <v>74.849400000000003</v>
      </c>
      <c r="H1361" s="394"/>
      <c r="I1361" s="122" t="s">
        <v>2273</v>
      </c>
    </row>
    <row r="1362" spans="1:9" ht="11.25" customHeight="1">
      <c r="A1362" s="362"/>
      <c r="B1362" s="363"/>
      <c r="C1362" s="364"/>
      <c r="D1362" s="362"/>
      <c r="E1362" s="363"/>
      <c r="F1362" s="363"/>
      <c r="G1362" s="363"/>
      <c r="H1362" s="362"/>
    </row>
    <row r="1363" spans="1:9" ht="11.25" customHeight="1"/>
    <row r="1364" spans="1:9" ht="11.25" customHeight="1">
      <c r="A1364" s="826" t="s">
        <v>2709</v>
      </c>
    </row>
    <row r="1365" spans="1:9" ht="11.25" customHeight="1">
      <c r="A1365" s="148" t="s">
        <v>1752</v>
      </c>
    </row>
    <row r="1366" spans="1:9" ht="33" customHeight="1">
      <c r="A1366" s="352" t="s">
        <v>1450</v>
      </c>
      <c r="B1366" s="352" t="s">
        <v>1753</v>
      </c>
      <c r="C1366" s="393" t="s">
        <v>1487</v>
      </c>
      <c r="E1366" s="352"/>
      <c r="F1366" s="122"/>
      <c r="G1366" s="353"/>
    </row>
    <row r="1367" spans="1:9" ht="29.25" customHeight="1">
      <c r="A1367" s="309" t="s">
        <v>30</v>
      </c>
      <c r="B1367" s="354" t="s">
        <v>19</v>
      </c>
      <c r="C1367" s="293" t="s">
        <v>81</v>
      </c>
      <c r="D1367" s="294" t="s">
        <v>77</v>
      </c>
      <c r="E1367" s="294" t="s">
        <v>82</v>
      </c>
      <c r="F1367" s="295" t="s">
        <v>83</v>
      </c>
      <c r="G1367" s="355" t="s">
        <v>84</v>
      </c>
    </row>
    <row r="1368" spans="1:9" ht="15" customHeight="1">
      <c r="A1368" s="1141">
        <v>88241</v>
      </c>
      <c r="B1368" s="1129" t="s">
        <v>1466</v>
      </c>
      <c r="C1368" s="293" t="s">
        <v>104</v>
      </c>
      <c r="D1368" s="1131" t="s">
        <v>105</v>
      </c>
      <c r="E1368" s="1162">
        <v>1</v>
      </c>
      <c r="F1368" s="825">
        <f>'COMP AUX'!G53</f>
        <v>10.76</v>
      </c>
      <c r="G1368" s="358">
        <f>TRUNC(E1368*F1368,2)</f>
        <v>10.76</v>
      </c>
    </row>
    <row r="1369" spans="1:9" ht="15" customHeight="1">
      <c r="A1369" s="1142"/>
      <c r="B1369" s="1130"/>
      <c r="C1369" s="293" t="s">
        <v>87</v>
      </c>
      <c r="D1369" s="1131"/>
      <c r="E1369" s="1163"/>
      <c r="F1369" s="825">
        <f>'COMP AUX'!G54</f>
        <v>4.79</v>
      </c>
      <c r="G1369" s="312">
        <f>TRUNC(E1368*F1369,2)</f>
        <v>4.79</v>
      </c>
    </row>
    <row r="1370" spans="1:9" ht="15" customHeight="1">
      <c r="A1370" s="1159">
        <v>88262</v>
      </c>
      <c r="B1370" s="1129" t="s">
        <v>1751</v>
      </c>
      <c r="C1370" s="293" t="s">
        <v>104</v>
      </c>
      <c r="D1370" s="1155" t="s">
        <v>383</v>
      </c>
      <c r="E1370" s="1162">
        <v>1</v>
      </c>
      <c r="F1370" s="825">
        <f>'COMP AUX'!G87</f>
        <v>14.92</v>
      </c>
      <c r="G1370" s="312">
        <f t="shared" ref="G1370" si="58">TRUNC(E1370*F1370,2)</f>
        <v>14.92</v>
      </c>
    </row>
    <row r="1371" spans="1:9" ht="15" customHeight="1">
      <c r="A1371" s="1160"/>
      <c r="B1371" s="1130"/>
      <c r="C1371" s="293" t="s">
        <v>87</v>
      </c>
      <c r="D1371" s="1156"/>
      <c r="E1371" s="1163"/>
      <c r="F1371" s="825">
        <f>'COMP AUX'!G88</f>
        <v>4.75</v>
      </c>
      <c r="G1371" s="312">
        <f>TRUNC(E1370*F1371,2)</f>
        <v>4.75</v>
      </c>
    </row>
    <row r="1372" spans="1:9" ht="15" customHeight="1">
      <c r="A1372" s="354">
        <v>4509</v>
      </c>
      <c r="B1372" s="345" t="s">
        <v>2274</v>
      </c>
      <c r="C1372" s="293" t="s">
        <v>87</v>
      </c>
      <c r="D1372" s="295" t="s">
        <v>391</v>
      </c>
      <c r="E1372" s="311">
        <v>11</v>
      </c>
      <c r="F1372" s="825">
        <v>3.05</v>
      </c>
      <c r="G1372" s="312">
        <f t="shared" ref="G1372" si="59">TRUNC(E1372*F1372,2)</f>
        <v>33.549999999999997</v>
      </c>
    </row>
    <row r="1373" spans="1:9" ht="24.75" customHeight="1">
      <c r="A1373" s="309">
        <v>4358</v>
      </c>
      <c r="B1373" s="345" t="s">
        <v>2275</v>
      </c>
      <c r="C1373" s="293" t="s">
        <v>87</v>
      </c>
      <c r="D1373" s="295" t="s">
        <v>391</v>
      </c>
      <c r="E1373" s="311">
        <v>10</v>
      </c>
      <c r="F1373" s="825">
        <v>1.4</v>
      </c>
      <c r="G1373" s="312">
        <f>TRUNC(E1373*F1373,2)</f>
        <v>14</v>
      </c>
    </row>
    <row r="1374" spans="1:9" ht="15" customHeight="1">
      <c r="F1374" s="360" t="s">
        <v>90</v>
      </c>
      <c r="G1374" s="322">
        <f>G1368+G1370</f>
        <v>25.68</v>
      </c>
    </row>
    <row r="1375" spans="1:9" ht="15" customHeight="1">
      <c r="F1375" s="301" t="s">
        <v>92</v>
      </c>
      <c r="G1375" s="312">
        <f>G1369+G1371+G1372+G1373</f>
        <v>57.089999999999996</v>
      </c>
    </row>
    <row r="1376" spans="1:9" ht="15" customHeight="1">
      <c r="A1376" s="122" t="s">
        <v>94</v>
      </c>
      <c r="F1376" s="301" t="s">
        <v>93</v>
      </c>
      <c r="G1376" s="820">
        <f>SUM(G1374:G1375)</f>
        <v>82.77</v>
      </c>
    </row>
    <row r="1377" spans="1:9" ht="15" customHeight="1">
      <c r="A1377" s="300" t="s">
        <v>95</v>
      </c>
      <c r="B1377" s="385">
        <f>G1376</f>
        <v>82.77</v>
      </c>
    </row>
    <row r="1378" spans="1:9" ht="15" customHeight="1">
      <c r="A1378" s="382" t="s">
        <v>2272</v>
      </c>
      <c r="B1378" s="381"/>
    </row>
    <row r="1379" spans="1:9" ht="15" customHeight="1">
      <c r="A1379" s="443" t="s">
        <v>2311</v>
      </c>
      <c r="B1379" s="381">
        <f>(B1377+B1378)*0.245</f>
        <v>20.278649999999999</v>
      </c>
    </row>
    <row r="1380" spans="1:9" ht="15" customHeight="1">
      <c r="A1380" s="300" t="s">
        <v>98</v>
      </c>
      <c r="B1380" s="386">
        <f>SUM(B1377:B1379)</f>
        <v>103.04864999999999</v>
      </c>
      <c r="H1380" s="394"/>
      <c r="I1380" s="122" t="s">
        <v>2273</v>
      </c>
    </row>
    <row r="1381" spans="1:9" ht="11.25" customHeight="1">
      <c r="A1381" s="362"/>
      <c r="B1381" s="363"/>
      <c r="C1381" s="364"/>
      <c r="D1381" s="362"/>
      <c r="E1381" s="363"/>
      <c r="F1381" s="363"/>
      <c r="G1381" s="363"/>
      <c r="H1381" s="362"/>
    </row>
    <row r="1382" spans="1:9" ht="11.25" customHeight="1"/>
    <row r="1383" spans="1:9" ht="11.25" customHeight="1">
      <c r="A1383" s="122" t="s">
        <v>1194</v>
      </c>
    </row>
    <row r="1384" spans="1:9" ht="11.25" customHeight="1">
      <c r="A1384" s="148" t="s">
        <v>2196</v>
      </c>
    </row>
    <row r="1385" spans="1:9" ht="24.75" customHeight="1">
      <c r="A1385" s="352" t="s">
        <v>1450</v>
      </c>
      <c r="B1385" s="352" t="s">
        <v>2197</v>
      </c>
      <c r="C1385" s="393" t="s">
        <v>1487</v>
      </c>
      <c r="E1385" s="352"/>
      <c r="F1385" s="122"/>
      <c r="G1385" s="353"/>
    </row>
    <row r="1386" spans="1:9" ht="29.25" customHeight="1">
      <c r="A1386" s="309" t="s">
        <v>30</v>
      </c>
      <c r="B1386" s="354" t="s">
        <v>19</v>
      </c>
      <c r="C1386" s="293" t="s">
        <v>81</v>
      </c>
      <c r="D1386" s="294" t="s">
        <v>77</v>
      </c>
      <c r="E1386" s="294" t="s">
        <v>82</v>
      </c>
      <c r="F1386" s="295" t="s">
        <v>83</v>
      </c>
      <c r="G1386" s="355" t="s">
        <v>84</v>
      </c>
    </row>
    <row r="1387" spans="1:9" ht="14.1" customHeight="1">
      <c r="A1387" s="1159">
        <v>88270</v>
      </c>
      <c r="B1387" s="1129" t="s">
        <v>1786</v>
      </c>
      <c r="C1387" s="293" t="s">
        <v>104</v>
      </c>
      <c r="D1387" s="1155" t="s">
        <v>383</v>
      </c>
      <c r="E1387" s="1165">
        <v>0.6</v>
      </c>
      <c r="F1387" s="298">
        <f>'COMP AUX'!G389</f>
        <v>15.879999999999999</v>
      </c>
      <c r="G1387" s="325">
        <f t="shared" ref="G1387:G1389" si="60">TRUNC(E1387*F1387,2)</f>
        <v>9.52</v>
      </c>
    </row>
    <row r="1388" spans="1:9" ht="14.1" customHeight="1">
      <c r="A1388" s="1160"/>
      <c r="B1388" s="1130"/>
      <c r="C1388" s="293" t="s">
        <v>87</v>
      </c>
      <c r="D1388" s="1156"/>
      <c r="E1388" s="1166"/>
      <c r="F1388" s="298">
        <f>'COMP AUX'!G390</f>
        <v>4.79</v>
      </c>
      <c r="G1388" s="325">
        <f>TRUNC(E1387*F1388,2)</f>
        <v>2.87</v>
      </c>
    </row>
    <row r="1389" spans="1:9" ht="14.1" customHeight="1">
      <c r="A1389" s="1159" t="s">
        <v>1322</v>
      </c>
      <c r="B1389" s="1129" t="s">
        <v>110</v>
      </c>
      <c r="C1389" s="293" t="s">
        <v>104</v>
      </c>
      <c r="D1389" s="1155" t="s">
        <v>383</v>
      </c>
      <c r="E1389" s="1162">
        <v>0.3</v>
      </c>
      <c r="F1389" s="298">
        <f>'COMP AUX'!G104</f>
        <v>11.18</v>
      </c>
      <c r="G1389" s="325">
        <f t="shared" si="60"/>
        <v>3.35</v>
      </c>
    </row>
    <row r="1390" spans="1:9" ht="14.1" customHeight="1">
      <c r="A1390" s="1160"/>
      <c r="B1390" s="1178"/>
      <c r="C1390" s="293" t="s">
        <v>87</v>
      </c>
      <c r="D1390" s="1156"/>
      <c r="E1390" s="1163"/>
      <c r="F1390" s="298">
        <f>'COMP AUX'!G105</f>
        <v>4.7300000000000004</v>
      </c>
      <c r="G1390" s="325">
        <f>TRUNC(E1389*F1390,2)</f>
        <v>1.41</v>
      </c>
    </row>
    <row r="1391" spans="1:9" ht="21.75" customHeight="1">
      <c r="A1391" s="309" t="s">
        <v>2198</v>
      </c>
      <c r="B1391" s="331" t="s">
        <v>2199</v>
      </c>
      <c r="C1391" s="293" t="s">
        <v>87</v>
      </c>
      <c r="D1391" s="541" t="s">
        <v>1207</v>
      </c>
      <c r="E1391" s="595">
        <v>0.24</v>
      </c>
      <c r="F1391" s="298">
        <v>38.049999999999997</v>
      </c>
      <c r="G1391" s="325">
        <f>TRUNC(E1391*F1391,2)</f>
        <v>9.1300000000000008</v>
      </c>
    </row>
    <row r="1392" spans="1:9" ht="14.1" customHeight="1">
      <c r="A1392" s="309" t="s">
        <v>2200</v>
      </c>
      <c r="B1392" s="345" t="s">
        <v>2201</v>
      </c>
      <c r="C1392" s="293" t="s">
        <v>87</v>
      </c>
      <c r="D1392" s="295" t="s">
        <v>1207</v>
      </c>
      <c r="E1392" s="600">
        <v>0.1</v>
      </c>
      <c r="F1392" s="298">
        <v>28.24</v>
      </c>
      <c r="G1392" s="325">
        <f>TRUNC(E1392*F1392,2)</f>
        <v>2.82</v>
      </c>
    </row>
    <row r="1393" spans="1:8" ht="14.1" customHeight="1">
      <c r="F1393" s="360" t="s">
        <v>90</v>
      </c>
      <c r="G1393" s="601">
        <f>G1387+G1389</f>
        <v>12.87</v>
      </c>
    </row>
    <row r="1394" spans="1:8" ht="14.1" customHeight="1">
      <c r="F1394" s="301" t="s">
        <v>92</v>
      </c>
      <c r="G1394" s="325">
        <f>G1388+G1390+G1391+G1392</f>
        <v>16.23</v>
      </c>
    </row>
    <row r="1395" spans="1:8" ht="14.1" customHeight="1">
      <c r="A1395" s="122" t="s">
        <v>94</v>
      </c>
      <c r="F1395" s="301" t="s">
        <v>93</v>
      </c>
      <c r="G1395" s="329">
        <f>SUM(G1393:G1394)</f>
        <v>29.1</v>
      </c>
    </row>
    <row r="1396" spans="1:8" ht="14.1" customHeight="1">
      <c r="A1396" s="300" t="s">
        <v>95</v>
      </c>
      <c r="B1396" s="466">
        <f>G1395</f>
        <v>29.1</v>
      </c>
    </row>
    <row r="1397" spans="1:8" ht="14.1" customHeight="1">
      <c r="A1397" s="382" t="s">
        <v>2272</v>
      </c>
      <c r="B1397" s="381"/>
    </row>
    <row r="1398" spans="1:8" ht="14.1" customHeight="1">
      <c r="A1398" s="443" t="s">
        <v>2311</v>
      </c>
      <c r="B1398" s="381">
        <f>(B1396+B1397)*0.245</f>
        <v>7.1295000000000002</v>
      </c>
    </row>
    <row r="1399" spans="1:8" ht="14.1" customHeight="1">
      <c r="A1399" s="300" t="s">
        <v>98</v>
      </c>
      <c r="B1399" s="467">
        <f>SUM(B1396:B1398)</f>
        <v>36.229500000000002</v>
      </c>
      <c r="H1399" s="394"/>
    </row>
    <row r="1400" spans="1:8" ht="11.25" customHeight="1">
      <c r="A1400" s="362"/>
      <c r="B1400" s="363"/>
      <c r="C1400" s="364"/>
      <c r="D1400" s="362"/>
      <c r="E1400" s="363"/>
      <c r="F1400" s="363"/>
      <c r="G1400" s="363"/>
      <c r="H1400" s="362"/>
    </row>
    <row r="1401" spans="1:8" ht="11.25" customHeight="1"/>
    <row r="1402" spans="1:8" ht="11.25" customHeight="1">
      <c r="A1402" s="122" t="s">
        <v>1194</v>
      </c>
    </row>
    <row r="1403" spans="1:8" ht="11.25" customHeight="1">
      <c r="A1403" s="148" t="s">
        <v>2981</v>
      </c>
    </row>
    <row r="1404" spans="1:8" ht="24.75" customHeight="1">
      <c r="A1404" s="352" t="s">
        <v>1450</v>
      </c>
      <c r="B1404" s="352" t="s">
        <v>2608</v>
      </c>
      <c r="C1404" s="393" t="s">
        <v>1487</v>
      </c>
      <c r="E1404" s="352"/>
      <c r="F1404" s="122"/>
      <c r="G1404" s="353"/>
    </row>
    <row r="1405" spans="1:8" ht="29.25" customHeight="1">
      <c r="A1405" s="945" t="s">
        <v>30</v>
      </c>
      <c r="B1405" s="354" t="s">
        <v>19</v>
      </c>
      <c r="C1405" s="293" t="s">
        <v>81</v>
      </c>
      <c r="D1405" s="908" t="s">
        <v>77</v>
      </c>
      <c r="E1405" s="908" t="s">
        <v>82</v>
      </c>
      <c r="F1405" s="909" t="s">
        <v>83</v>
      </c>
      <c r="G1405" s="355" t="s">
        <v>84</v>
      </c>
    </row>
    <row r="1406" spans="1:8" ht="14.1" customHeight="1">
      <c r="A1406" s="1159">
        <v>88310</v>
      </c>
      <c r="B1406" s="1129" t="s">
        <v>995</v>
      </c>
      <c r="C1406" s="293" t="s">
        <v>104</v>
      </c>
      <c r="D1406" s="1155" t="s">
        <v>383</v>
      </c>
      <c r="E1406" s="1165">
        <v>1.9</v>
      </c>
      <c r="F1406" s="825">
        <f>'COMP AUX'!G236</f>
        <v>14.96</v>
      </c>
      <c r="G1406" s="325">
        <f>TRUNC(E1406*F1406,2)</f>
        <v>28.42</v>
      </c>
    </row>
    <row r="1407" spans="1:8" ht="14.1" customHeight="1">
      <c r="A1407" s="1160"/>
      <c r="B1407" s="1130"/>
      <c r="C1407" s="293" t="s">
        <v>87</v>
      </c>
      <c r="D1407" s="1156"/>
      <c r="E1407" s="1166"/>
      <c r="F1407" s="825">
        <f>'COMP AUX'!G237</f>
        <v>5.96</v>
      </c>
      <c r="G1407" s="325">
        <f>TRUNC(E1406*F1407,2)</f>
        <v>11.32</v>
      </c>
    </row>
    <row r="1408" spans="1:8" ht="14.1" customHeight="1">
      <c r="A1408" s="1159">
        <v>88316</v>
      </c>
      <c r="B1408" s="1129" t="s">
        <v>110</v>
      </c>
      <c r="C1408" s="293" t="s">
        <v>104</v>
      </c>
      <c r="D1408" s="1155" t="s">
        <v>383</v>
      </c>
      <c r="E1408" s="1162">
        <v>1.9</v>
      </c>
      <c r="F1408" s="825">
        <f>'COMP AUX'!G104</f>
        <v>11.18</v>
      </c>
      <c r="G1408" s="325">
        <f>TRUNC(E1408*F1408,2)</f>
        <v>21.24</v>
      </c>
    </row>
    <row r="1409" spans="1:8" ht="14.1" customHeight="1">
      <c r="A1409" s="1160"/>
      <c r="B1409" s="1178"/>
      <c r="C1409" s="293" t="s">
        <v>87</v>
      </c>
      <c r="D1409" s="1156"/>
      <c r="E1409" s="1163"/>
      <c r="F1409" s="825">
        <f>'COMP AUX'!G105</f>
        <v>4.7300000000000004</v>
      </c>
      <c r="G1409" s="325">
        <f>TRUNC(E1408*F1409,2)</f>
        <v>8.98</v>
      </c>
    </row>
    <row r="1410" spans="1:8" ht="23.25" customHeight="1">
      <c r="A1410" s="945">
        <v>3767</v>
      </c>
      <c r="B1410" s="345" t="s">
        <v>2851</v>
      </c>
      <c r="C1410" s="293" t="s">
        <v>87</v>
      </c>
      <c r="D1410" s="914" t="s">
        <v>2713</v>
      </c>
      <c r="E1410" s="920">
        <v>0.5</v>
      </c>
      <c r="F1410" s="825">
        <v>0.64</v>
      </c>
      <c r="G1410" s="325">
        <f>TRUNC(E1410*F1410,2)</f>
        <v>0.32</v>
      </c>
    </row>
    <row r="1411" spans="1:8" ht="21.75" customHeight="1">
      <c r="A1411" s="945">
        <v>4049</v>
      </c>
      <c r="B1411" s="907" t="s">
        <v>2982</v>
      </c>
      <c r="C1411" s="293" t="s">
        <v>87</v>
      </c>
      <c r="D1411" s="914" t="s">
        <v>1207</v>
      </c>
      <c r="E1411" s="916">
        <v>0.45</v>
      </c>
      <c r="F1411" s="825">
        <v>46.3</v>
      </c>
      <c r="G1411" s="325">
        <f>TRUNC(E1411*F1411,2)</f>
        <v>20.83</v>
      </c>
    </row>
    <row r="1412" spans="1:8" ht="21.75" customHeight="1">
      <c r="A1412" s="945">
        <v>7304</v>
      </c>
      <c r="B1412" s="907" t="s">
        <v>2983</v>
      </c>
      <c r="C1412" s="293" t="s">
        <v>87</v>
      </c>
      <c r="D1412" s="914" t="s">
        <v>1207</v>
      </c>
      <c r="E1412" s="916">
        <v>0.5</v>
      </c>
      <c r="F1412" s="825">
        <v>51.4</v>
      </c>
      <c r="G1412" s="325">
        <f>TRUNC(E1412*F1412,2)</f>
        <v>25.7</v>
      </c>
    </row>
    <row r="1413" spans="1:8" ht="14.1" customHeight="1">
      <c r="A1413" s="945">
        <v>11149</v>
      </c>
      <c r="B1413" s="345" t="s">
        <v>2984</v>
      </c>
      <c r="C1413" s="293" t="s">
        <v>87</v>
      </c>
      <c r="D1413" s="909" t="s">
        <v>2985</v>
      </c>
      <c r="E1413" s="600">
        <v>8.3299999999999999E-2</v>
      </c>
      <c r="F1413" s="825">
        <v>166.51</v>
      </c>
      <c r="G1413" s="325">
        <f>TRUNC(E1413*F1413,2)</f>
        <v>13.87</v>
      </c>
    </row>
    <row r="1414" spans="1:8" ht="14.1" customHeight="1">
      <c r="F1414" s="360" t="s">
        <v>90</v>
      </c>
      <c r="G1414" s="601">
        <f>SUM(G1406,G1408)</f>
        <v>49.66</v>
      </c>
    </row>
    <row r="1415" spans="1:8" ht="14.1" customHeight="1">
      <c r="F1415" s="301" t="s">
        <v>92</v>
      </c>
      <c r="G1415" s="325">
        <f>SUM(G1407,G1409,G1410,G1411,G1412,G1413)</f>
        <v>81.02000000000001</v>
      </c>
    </row>
    <row r="1416" spans="1:8" ht="14.1" customHeight="1">
      <c r="A1416" s="122" t="s">
        <v>94</v>
      </c>
      <c r="F1416" s="301" t="s">
        <v>93</v>
      </c>
      <c r="G1416" s="856">
        <f>SUM(G1414:G1415)</f>
        <v>130.68</v>
      </c>
    </row>
    <row r="1417" spans="1:8" ht="14.1" customHeight="1">
      <c r="A1417" s="300" t="s">
        <v>95</v>
      </c>
      <c r="B1417" s="466">
        <f>G1416</f>
        <v>130.68</v>
      </c>
    </row>
    <row r="1418" spans="1:8" ht="14.1" customHeight="1">
      <c r="A1418" s="382" t="s">
        <v>2272</v>
      </c>
      <c r="B1418" s="381"/>
    </row>
    <row r="1419" spans="1:8" ht="14.1" customHeight="1">
      <c r="A1419" s="443" t="s">
        <v>2311</v>
      </c>
      <c r="B1419" s="381">
        <f>(B1417+B1418)*0.245</f>
        <v>32.016600000000004</v>
      </c>
    </row>
    <row r="1420" spans="1:8" ht="14.1" customHeight="1">
      <c r="A1420" s="300" t="s">
        <v>98</v>
      </c>
      <c r="B1420" s="467">
        <f>SUM(B1417:B1419)</f>
        <v>162.69660000000002</v>
      </c>
      <c r="H1420" s="394"/>
    </row>
    <row r="1421" spans="1:8" ht="11.25" customHeight="1">
      <c r="A1421" s="362"/>
      <c r="B1421" s="363"/>
      <c r="C1421" s="364"/>
      <c r="D1421" s="362"/>
      <c r="E1421" s="363"/>
      <c r="F1421" s="363"/>
      <c r="G1421" s="363"/>
      <c r="H1421" s="362"/>
    </row>
    <row r="1422" spans="1:8" ht="11.25" customHeight="1"/>
    <row r="1423" spans="1:8" ht="11.25" customHeight="1">
      <c r="A1423" s="122" t="s">
        <v>1194</v>
      </c>
    </row>
    <row r="1424" spans="1:8" ht="11.25" customHeight="1">
      <c r="A1424" s="148" t="s">
        <v>2986</v>
      </c>
    </row>
    <row r="1425" spans="1:8" ht="24.75" customHeight="1">
      <c r="A1425" s="352" t="s">
        <v>1450</v>
      </c>
      <c r="B1425" s="352" t="s">
        <v>2987</v>
      </c>
      <c r="C1425" s="393" t="s">
        <v>1487</v>
      </c>
      <c r="E1425" s="352"/>
      <c r="F1425" s="122"/>
      <c r="G1425" s="353"/>
    </row>
    <row r="1426" spans="1:8" ht="29.25" customHeight="1">
      <c r="A1426" s="945" t="s">
        <v>30</v>
      </c>
      <c r="B1426" s="354" t="s">
        <v>19</v>
      </c>
      <c r="C1426" s="293" t="s">
        <v>81</v>
      </c>
      <c r="D1426" s="908" t="s">
        <v>77</v>
      </c>
      <c r="E1426" s="908" t="s">
        <v>82</v>
      </c>
      <c r="F1426" s="909" t="s">
        <v>83</v>
      </c>
      <c r="G1426" s="355" t="s">
        <v>84</v>
      </c>
    </row>
    <row r="1427" spans="1:8" ht="25.5" customHeight="1">
      <c r="A1427" s="910">
        <v>87298</v>
      </c>
      <c r="B1427" s="906" t="s">
        <v>2988</v>
      </c>
      <c r="C1427" s="293" t="s">
        <v>108</v>
      </c>
      <c r="D1427" s="913" t="s">
        <v>438</v>
      </c>
      <c r="E1427" s="915">
        <v>1.2E-2</v>
      </c>
      <c r="F1427" s="825">
        <v>425.9</v>
      </c>
      <c r="G1427" s="325">
        <f>TRUNC(E1427*F1427,2)</f>
        <v>5.1100000000000003</v>
      </c>
    </row>
    <row r="1428" spans="1:8" ht="14.1" customHeight="1">
      <c r="A1428" s="1159" t="s">
        <v>2989</v>
      </c>
      <c r="B1428" s="1129" t="s">
        <v>118</v>
      </c>
      <c r="C1428" s="293" t="s">
        <v>104</v>
      </c>
      <c r="D1428" s="1155" t="s">
        <v>383</v>
      </c>
      <c r="E1428" s="1162">
        <v>0.5</v>
      </c>
      <c r="F1428" s="825">
        <f>'COMP AUX'!G151</f>
        <v>15.020000000000001</v>
      </c>
      <c r="G1428" s="325">
        <f>TRUNC(E1428*F1428,2)</f>
        <v>7.51</v>
      </c>
    </row>
    <row r="1429" spans="1:8" ht="14.1" customHeight="1">
      <c r="A1429" s="1160"/>
      <c r="B1429" s="1178"/>
      <c r="C1429" s="293" t="s">
        <v>87</v>
      </c>
      <c r="D1429" s="1156"/>
      <c r="E1429" s="1163"/>
      <c r="F1429" s="825">
        <f>'COMP AUX'!G152</f>
        <v>4.79</v>
      </c>
      <c r="G1429" s="325">
        <f>TRUNC(E1428*F1429,2)</f>
        <v>2.39</v>
      </c>
    </row>
    <row r="1430" spans="1:8" ht="14.1" customHeight="1">
      <c r="A1430" s="1159">
        <v>88316</v>
      </c>
      <c r="B1430" s="1129" t="s">
        <v>110</v>
      </c>
      <c r="C1430" s="293" t="s">
        <v>104</v>
      </c>
      <c r="D1430" s="1155" t="s">
        <v>383</v>
      </c>
      <c r="E1430" s="1162">
        <v>0.4</v>
      </c>
      <c r="F1430" s="825">
        <f>'COMP AUX'!G104</f>
        <v>11.18</v>
      </c>
      <c r="G1430" s="325">
        <f>TRUNC(E1430*F1430,2)</f>
        <v>4.47</v>
      </c>
    </row>
    <row r="1431" spans="1:8" ht="14.1" customHeight="1">
      <c r="A1431" s="1160"/>
      <c r="B1431" s="1178"/>
      <c r="C1431" s="293" t="s">
        <v>87</v>
      </c>
      <c r="D1431" s="1156"/>
      <c r="E1431" s="1163"/>
      <c r="F1431" s="825">
        <f>'COMP AUX'!G105</f>
        <v>4.7300000000000004</v>
      </c>
      <c r="G1431" s="325">
        <f>TRUNC(E1430*F1431,2)</f>
        <v>1.89</v>
      </c>
    </row>
    <row r="1432" spans="1:8" ht="23.25" customHeight="1">
      <c r="A1432" s="945">
        <v>4796</v>
      </c>
      <c r="B1432" s="345" t="s">
        <v>2990</v>
      </c>
      <c r="C1432" s="293" t="s">
        <v>87</v>
      </c>
      <c r="D1432" s="914" t="s">
        <v>2713</v>
      </c>
      <c r="E1432" s="920">
        <v>1.05</v>
      </c>
      <c r="F1432" s="825">
        <v>170.5</v>
      </c>
      <c r="G1432" s="325">
        <f>TRUNC(E1432*F1432,2)</f>
        <v>179.02</v>
      </c>
    </row>
    <row r="1433" spans="1:8" ht="14.1" customHeight="1">
      <c r="F1433" s="360" t="s">
        <v>90</v>
      </c>
      <c r="G1433" s="601"/>
    </row>
    <row r="1434" spans="1:8" ht="14.1" customHeight="1">
      <c r="F1434" s="301" t="s">
        <v>92</v>
      </c>
      <c r="G1434" s="325"/>
    </row>
    <row r="1435" spans="1:8" ht="14.1" customHeight="1">
      <c r="A1435" s="122" t="s">
        <v>94</v>
      </c>
      <c r="F1435" s="301" t="s">
        <v>93</v>
      </c>
      <c r="G1435" s="856">
        <f>SUM(G1427:G1432)</f>
        <v>200.39000000000001</v>
      </c>
    </row>
    <row r="1436" spans="1:8" ht="14.1" customHeight="1">
      <c r="A1436" s="300" t="s">
        <v>95</v>
      </c>
      <c r="B1436" s="466">
        <f>G1435</f>
        <v>200.39000000000001</v>
      </c>
    </row>
    <row r="1437" spans="1:8" ht="14.1" customHeight="1">
      <c r="A1437" s="382" t="s">
        <v>2272</v>
      </c>
      <c r="B1437" s="381"/>
    </row>
    <row r="1438" spans="1:8" ht="14.1" customHeight="1">
      <c r="A1438" s="443" t="s">
        <v>2311</v>
      </c>
      <c r="B1438" s="381">
        <f>(B1436+B1437)*0.245</f>
        <v>49.095550000000003</v>
      </c>
    </row>
    <row r="1439" spans="1:8" ht="14.1" customHeight="1">
      <c r="A1439" s="300" t="s">
        <v>98</v>
      </c>
      <c r="B1439" s="467">
        <f>SUM(B1436:B1438)</f>
        <v>249.48555000000002</v>
      </c>
      <c r="H1439" s="394"/>
    </row>
    <row r="1440" spans="1:8" ht="11.25" customHeight="1">
      <c r="A1440" s="362"/>
      <c r="B1440" s="363"/>
      <c r="C1440" s="364"/>
      <c r="D1440" s="362"/>
      <c r="E1440" s="363"/>
      <c r="F1440" s="363"/>
      <c r="G1440" s="363"/>
      <c r="H1440" s="362"/>
    </row>
    <row r="1441" spans="1:8" ht="11.25" customHeight="1"/>
    <row r="1442" spans="1:8" ht="14.25" customHeight="1">
      <c r="A1442" s="826" t="s">
        <v>2709</v>
      </c>
    </row>
    <row r="1443" spans="1:8" ht="13.5" customHeight="1">
      <c r="A1443" s="148" t="s">
        <v>2157</v>
      </c>
    </row>
    <row r="1444" spans="1:8" ht="29.25" customHeight="1">
      <c r="A1444" s="352" t="s">
        <v>1450</v>
      </c>
      <c r="B1444" s="352" t="s">
        <v>2156</v>
      </c>
      <c r="C1444" s="393" t="s">
        <v>1487</v>
      </c>
      <c r="E1444" s="352"/>
      <c r="F1444" s="122"/>
      <c r="G1444" s="353"/>
    </row>
    <row r="1445" spans="1:8" ht="27.75" customHeight="1">
      <c r="A1445" s="309" t="s">
        <v>30</v>
      </c>
      <c r="B1445" s="354" t="s">
        <v>19</v>
      </c>
      <c r="C1445" s="293" t="s">
        <v>81</v>
      </c>
      <c r="D1445" s="294" t="s">
        <v>77</v>
      </c>
      <c r="E1445" s="294" t="s">
        <v>82</v>
      </c>
      <c r="F1445" s="295" t="s">
        <v>83</v>
      </c>
      <c r="G1445" s="355" t="s">
        <v>84</v>
      </c>
    </row>
    <row r="1446" spans="1:8" ht="15" customHeight="1">
      <c r="A1446" s="1159">
        <v>88270</v>
      </c>
      <c r="B1446" s="1129" t="s">
        <v>1786</v>
      </c>
      <c r="C1446" s="293" t="s">
        <v>104</v>
      </c>
      <c r="D1446" s="1155" t="s">
        <v>383</v>
      </c>
      <c r="E1446" s="1165">
        <f>0.33</f>
        <v>0.33</v>
      </c>
      <c r="F1446" s="825">
        <f>'COMP AUX'!G389</f>
        <v>15.879999999999999</v>
      </c>
      <c r="G1446" s="325">
        <f t="shared" ref="G1446" si="61">TRUNC(E1446*F1446,2)</f>
        <v>5.24</v>
      </c>
    </row>
    <row r="1447" spans="1:8" ht="15" customHeight="1">
      <c r="A1447" s="1160"/>
      <c r="B1447" s="1130"/>
      <c r="C1447" s="293" t="s">
        <v>87</v>
      </c>
      <c r="D1447" s="1156"/>
      <c r="E1447" s="1166"/>
      <c r="F1447" s="825">
        <f>'COMP AUX'!G390</f>
        <v>4.79</v>
      </c>
      <c r="G1447" s="325">
        <f>TRUNC(E1446*F1447,2)</f>
        <v>1.58</v>
      </c>
    </row>
    <row r="1448" spans="1:8" ht="25.5" customHeight="1">
      <c r="A1448" s="309">
        <v>142</v>
      </c>
      <c r="B1448" s="345" t="s">
        <v>560</v>
      </c>
      <c r="C1448" s="293" t="s">
        <v>87</v>
      </c>
      <c r="D1448" s="295" t="s">
        <v>1916</v>
      </c>
      <c r="E1448" s="600">
        <f>3.226</f>
        <v>3.226</v>
      </c>
      <c r="F1448" s="825">
        <v>24.17</v>
      </c>
      <c r="G1448" s="325">
        <f>TRUNC(E1448*F1448,2)</f>
        <v>77.97</v>
      </c>
    </row>
    <row r="1449" spans="1:8" ht="15" customHeight="1">
      <c r="F1449" s="360" t="s">
        <v>90</v>
      </c>
      <c r="G1449" s="601">
        <f>G1446</f>
        <v>5.24</v>
      </c>
    </row>
    <row r="1450" spans="1:8" ht="15" customHeight="1">
      <c r="F1450" s="301" t="s">
        <v>92</v>
      </c>
      <c r="G1450" s="325">
        <f>G1447+G1448</f>
        <v>79.55</v>
      </c>
    </row>
    <row r="1451" spans="1:8" ht="15" customHeight="1">
      <c r="A1451" s="122" t="s">
        <v>94</v>
      </c>
      <c r="F1451" s="301" t="s">
        <v>93</v>
      </c>
      <c r="G1451" s="856">
        <f>SUM(G1449:G1450)</f>
        <v>84.789999999999992</v>
      </c>
    </row>
    <row r="1452" spans="1:8" ht="15" customHeight="1">
      <c r="A1452" s="300" t="s">
        <v>95</v>
      </c>
      <c r="B1452" s="466">
        <f>G1451</f>
        <v>84.789999999999992</v>
      </c>
    </row>
    <row r="1453" spans="1:8" ht="15" customHeight="1">
      <c r="A1453" s="382" t="s">
        <v>2272</v>
      </c>
      <c r="B1453" s="381"/>
    </row>
    <row r="1454" spans="1:8" ht="15" customHeight="1">
      <c r="A1454" s="443" t="s">
        <v>2311</v>
      </c>
      <c r="B1454" s="381">
        <f>(B1452+B1453)*0.245</f>
        <v>20.773549999999997</v>
      </c>
    </row>
    <row r="1455" spans="1:8" ht="15" customHeight="1">
      <c r="A1455" s="300" t="s">
        <v>98</v>
      </c>
      <c r="B1455" s="467">
        <f>SUM(B1452:B1454)</f>
        <v>105.56354999999999</v>
      </c>
      <c r="H1455" s="394"/>
    </row>
    <row r="1456" spans="1:8" ht="11.25" customHeight="1">
      <c r="A1456" s="362"/>
      <c r="B1456" s="363"/>
      <c r="C1456" s="364"/>
      <c r="D1456" s="362"/>
      <c r="E1456" s="363"/>
      <c r="F1456" s="363"/>
      <c r="G1456" s="363"/>
      <c r="H1456" s="362"/>
    </row>
    <row r="1457" spans="1:7" ht="11.25" customHeight="1"/>
    <row r="1458" spans="1:7" ht="11.25" customHeight="1">
      <c r="A1458" s="122" t="s">
        <v>1194</v>
      </c>
    </row>
    <row r="1459" spans="1:7" ht="15" customHeight="1">
      <c r="A1459" s="148" t="s">
        <v>2202</v>
      </c>
    </row>
    <row r="1460" spans="1:7" ht="42.75" customHeight="1">
      <c r="A1460" s="352" t="s">
        <v>1450</v>
      </c>
      <c r="B1460" s="1161" t="s">
        <v>1863</v>
      </c>
      <c r="C1460" s="1161"/>
      <c r="D1460" s="1161"/>
      <c r="E1460" s="494" t="s">
        <v>1487</v>
      </c>
      <c r="F1460" s="122"/>
      <c r="G1460" s="353"/>
    </row>
    <row r="1461" spans="1:7" ht="22.5" customHeight="1">
      <c r="A1461" s="309" t="s">
        <v>30</v>
      </c>
      <c r="B1461" s="354" t="s">
        <v>19</v>
      </c>
      <c r="C1461" s="293" t="s">
        <v>81</v>
      </c>
      <c r="D1461" s="294" t="s">
        <v>77</v>
      </c>
      <c r="E1461" s="294" t="s">
        <v>82</v>
      </c>
      <c r="F1461" s="295" t="s">
        <v>83</v>
      </c>
      <c r="G1461" s="355" t="s">
        <v>84</v>
      </c>
    </row>
    <row r="1462" spans="1:7" ht="14.1" customHeight="1">
      <c r="A1462" s="1141" t="s">
        <v>1322</v>
      </c>
      <c r="B1462" s="1129" t="s">
        <v>110</v>
      </c>
      <c r="C1462" s="293" t="s">
        <v>104</v>
      </c>
      <c r="D1462" s="1131" t="s">
        <v>383</v>
      </c>
      <c r="E1462" s="1162">
        <v>0.43</v>
      </c>
      <c r="F1462" s="298">
        <f>'COMP AUX'!G104</f>
        <v>11.18</v>
      </c>
      <c r="G1462" s="358">
        <f>TRUNC(E1462*F1462,2)</f>
        <v>4.8</v>
      </c>
    </row>
    <row r="1463" spans="1:7" ht="14.1" customHeight="1">
      <c r="A1463" s="1142"/>
      <c r="B1463" s="1130"/>
      <c r="C1463" s="293" t="s">
        <v>87</v>
      </c>
      <c r="D1463" s="1131"/>
      <c r="E1463" s="1163"/>
      <c r="F1463" s="298">
        <f>'COMP AUX'!G105</f>
        <v>4.7300000000000004</v>
      </c>
      <c r="G1463" s="312">
        <f>TRUNC(E1462*F1463,2)</f>
        <v>2.0299999999999998</v>
      </c>
    </row>
    <row r="1464" spans="1:7" ht="14.1" customHeight="1">
      <c r="A1464" s="1159">
        <v>88309</v>
      </c>
      <c r="B1464" s="1129" t="s">
        <v>118</v>
      </c>
      <c r="C1464" s="293" t="s">
        <v>104</v>
      </c>
      <c r="D1464" s="1155" t="s">
        <v>383</v>
      </c>
      <c r="E1464" s="1162">
        <v>0.86</v>
      </c>
      <c r="F1464" s="298">
        <f>'COMP AUX'!G151</f>
        <v>15.020000000000001</v>
      </c>
      <c r="G1464" s="312">
        <f t="shared" ref="G1464" si="62">TRUNC(E1464*F1464,2)</f>
        <v>12.91</v>
      </c>
    </row>
    <row r="1465" spans="1:7" ht="14.1" customHeight="1">
      <c r="A1465" s="1160"/>
      <c r="B1465" s="1130"/>
      <c r="C1465" s="293" t="s">
        <v>87</v>
      </c>
      <c r="D1465" s="1156"/>
      <c r="E1465" s="1163"/>
      <c r="F1465" s="298">
        <f>'COMP AUX'!G152</f>
        <v>4.79</v>
      </c>
      <c r="G1465" s="312">
        <f>TRUNC(E1464*F1465,2)</f>
        <v>4.1100000000000003</v>
      </c>
    </row>
    <row r="1466" spans="1:7" ht="34.5" customHeight="1">
      <c r="A1466" s="565" t="s">
        <v>2203</v>
      </c>
      <c r="B1466" s="331" t="s">
        <v>2204</v>
      </c>
      <c r="C1466" s="293" t="s">
        <v>87</v>
      </c>
      <c r="D1466" s="541" t="s">
        <v>391</v>
      </c>
      <c r="E1466" s="540">
        <v>0.78500000000000003</v>
      </c>
      <c r="F1466" s="298">
        <v>1.97</v>
      </c>
      <c r="G1466" s="312">
        <f>TRUNC(E1466*F1466,2)</f>
        <v>1.54</v>
      </c>
    </row>
    <row r="1467" spans="1:7" ht="14.1" customHeight="1">
      <c r="A1467" s="565" t="s">
        <v>2205</v>
      </c>
      <c r="B1467" s="331" t="s">
        <v>2206</v>
      </c>
      <c r="C1467" s="293" t="s">
        <v>87</v>
      </c>
      <c r="D1467" s="541" t="s">
        <v>2209</v>
      </c>
      <c r="E1467" s="540">
        <v>1.89E-2</v>
      </c>
      <c r="F1467" s="298">
        <v>43.29</v>
      </c>
      <c r="G1467" s="312">
        <f t="shared" ref="G1467:G1469" si="63">TRUNC(E1467*F1467,2)</f>
        <v>0.81</v>
      </c>
    </row>
    <row r="1468" spans="1:7" ht="24.75" customHeight="1">
      <c r="A1468" s="493" t="s">
        <v>2207</v>
      </c>
      <c r="B1468" s="345" t="s">
        <v>2208</v>
      </c>
      <c r="C1468" s="293" t="s">
        <v>87</v>
      </c>
      <c r="D1468" s="295" t="s">
        <v>381</v>
      </c>
      <c r="E1468" s="326">
        <v>13.35</v>
      </c>
      <c r="F1468" s="298">
        <v>1.73</v>
      </c>
      <c r="G1468" s="312">
        <f t="shared" si="63"/>
        <v>23.09</v>
      </c>
    </row>
    <row r="1469" spans="1:7" ht="21.9" customHeight="1">
      <c r="A1469" s="1159" t="s">
        <v>2210</v>
      </c>
      <c r="B1469" s="1129" t="s">
        <v>2211</v>
      </c>
      <c r="C1469" s="293" t="s">
        <v>104</v>
      </c>
      <c r="D1469" s="1155" t="s">
        <v>1316</v>
      </c>
      <c r="E1469" s="1165">
        <v>1.18E-2</v>
      </c>
      <c r="F1469" s="298">
        <f>'COMP AUX'!G1667</f>
        <v>48.83</v>
      </c>
      <c r="G1469" s="325">
        <f t="shared" si="63"/>
        <v>0.56999999999999995</v>
      </c>
    </row>
    <row r="1470" spans="1:7" ht="21.9" customHeight="1">
      <c r="A1470" s="1164"/>
      <c r="B1470" s="1130"/>
      <c r="C1470" s="293" t="s">
        <v>87</v>
      </c>
      <c r="D1470" s="1156"/>
      <c r="E1470" s="1166"/>
      <c r="F1470" s="298">
        <f>'COMP AUX'!G1668</f>
        <v>318.97000000000003</v>
      </c>
      <c r="G1470" s="325">
        <f>TRUNC(E1469*F1470,2)</f>
        <v>3.76</v>
      </c>
    </row>
    <row r="1471" spans="1:7" ht="14.1" customHeight="1">
      <c r="F1471" s="360" t="s">
        <v>90</v>
      </c>
      <c r="G1471" s="601">
        <f>G1462+G1464+G1469</f>
        <v>18.28</v>
      </c>
    </row>
    <row r="1472" spans="1:7" ht="14.1" customHeight="1">
      <c r="F1472" s="301" t="s">
        <v>92</v>
      </c>
      <c r="G1472" s="325">
        <f>G1463+G1465+G1466+G1467+G1468+G1470</f>
        <v>35.339999999999996</v>
      </c>
    </row>
    <row r="1473" spans="1:8" ht="14.1" customHeight="1">
      <c r="A1473" s="122" t="s">
        <v>94</v>
      </c>
      <c r="F1473" s="301" t="s">
        <v>93</v>
      </c>
      <c r="G1473" s="329">
        <f>SUM(G1471:G1472)</f>
        <v>53.62</v>
      </c>
    </row>
    <row r="1474" spans="1:8" ht="14.1" customHeight="1">
      <c r="A1474" s="300" t="s">
        <v>95</v>
      </c>
      <c r="B1474" s="466">
        <f>G1473</f>
        <v>53.62</v>
      </c>
    </row>
    <row r="1475" spans="1:8" ht="14.1" customHeight="1">
      <c r="A1475" s="382" t="s">
        <v>2272</v>
      </c>
      <c r="B1475" s="381"/>
    </row>
    <row r="1476" spans="1:8" ht="14.1" customHeight="1">
      <c r="A1476" s="443" t="s">
        <v>2311</v>
      </c>
      <c r="B1476" s="381">
        <f>(B1474+B1475)*0.245</f>
        <v>13.136899999999999</v>
      </c>
    </row>
    <row r="1477" spans="1:8" ht="14.1" customHeight="1">
      <c r="A1477" s="300" t="s">
        <v>98</v>
      </c>
      <c r="B1477" s="467">
        <f>SUM(B1474:B1476)</f>
        <v>66.756900000000002</v>
      </c>
      <c r="H1477" s="394"/>
    </row>
    <row r="1478" spans="1:8" ht="11.25" customHeight="1">
      <c r="A1478" s="362"/>
      <c r="B1478" s="363"/>
      <c r="C1478" s="364"/>
      <c r="D1478" s="362"/>
      <c r="E1478" s="363"/>
      <c r="F1478" s="363"/>
      <c r="G1478" s="363"/>
      <c r="H1478" s="362"/>
    </row>
    <row r="1479" spans="1:8" ht="11.25" customHeight="1"/>
    <row r="1480" spans="1:8" ht="11.25" customHeight="1">
      <c r="A1480" s="122" t="s">
        <v>1194</v>
      </c>
    </row>
    <row r="1481" spans="1:8" ht="11.25" customHeight="1">
      <c r="A1481" s="148" t="s">
        <v>2216</v>
      </c>
    </row>
    <row r="1482" spans="1:8" ht="35.25" customHeight="1">
      <c r="A1482" s="352" t="s">
        <v>1450</v>
      </c>
      <c r="B1482" s="1161" t="s">
        <v>1864</v>
      </c>
      <c r="C1482" s="1161"/>
      <c r="D1482" s="494" t="s">
        <v>1487</v>
      </c>
      <c r="E1482" s="352"/>
      <c r="F1482" s="122"/>
      <c r="G1482" s="353"/>
    </row>
    <row r="1483" spans="1:8" ht="21.75" customHeight="1">
      <c r="A1483" s="309" t="s">
        <v>30</v>
      </c>
      <c r="B1483" s="354" t="s">
        <v>19</v>
      </c>
      <c r="C1483" s="293" t="s">
        <v>81</v>
      </c>
      <c r="D1483" s="294" t="s">
        <v>77</v>
      </c>
      <c r="E1483" s="294" t="s">
        <v>82</v>
      </c>
      <c r="F1483" s="295" t="s">
        <v>83</v>
      </c>
      <c r="G1483" s="355" t="s">
        <v>84</v>
      </c>
    </row>
    <row r="1484" spans="1:8" ht="14.1" customHeight="1">
      <c r="A1484" s="1141" t="s">
        <v>1322</v>
      </c>
      <c r="B1484" s="1129" t="s">
        <v>110</v>
      </c>
      <c r="C1484" s="293" t="s">
        <v>104</v>
      </c>
      <c r="D1484" s="1131" t="s">
        <v>383</v>
      </c>
      <c r="E1484" s="1162">
        <v>7.0000000000000001E-3</v>
      </c>
      <c r="F1484" s="298">
        <f>'COMP AUX'!G104</f>
        <v>11.18</v>
      </c>
      <c r="G1484" s="358">
        <f>TRUNC(E1484*F1484,2)</f>
        <v>7.0000000000000007E-2</v>
      </c>
    </row>
    <row r="1485" spans="1:8" ht="14.1" customHeight="1">
      <c r="A1485" s="1142"/>
      <c r="B1485" s="1130"/>
      <c r="C1485" s="293" t="s">
        <v>87</v>
      </c>
      <c r="D1485" s="1131"/>
      <c r="E1485" s="1163"/>
      <c r="F1485" s="298">
        <f>'COMP AUX'!G105</f>
        <v>4.7300000000000004</v>
      </c>
      <c r="G1485" s="296">
        <f>TRUNC(E1484*F1485,2)</f>
        <v>0.03</v>
      </c>
    </row>
    <row r="1486" spans="1:8" ht="14.1" customHeight="1">
      <c r="A1486" s="1159" t="s">
        <v>1520</v>
      </c>
      <c r="B1486" s="1129" t="s">
        <v>118</v>
      </c>
      <c r="C1486" s="293" t="s">
        <v>104</v>
      </c>
      <c r="D1486" s="1155" t="s">
        <v>383</v>
      </c>
      <c r="E1486" s="1162">
        <v>7.0000000000000007E-2</v>
      </c>
      <c r="F1486" s="298">
        <f>'COMP AUX'!G151</f>
        <v>15.020000000000001</v>
      </c>
      <c r="G1486" s="312">
        <f t="shared" ref="G1486" si="64">TRUNC(E1486*F1486,2)</f>
        <v>1.05</v>
      </c>
    </row>
    <row r="1487" spans="1:8" ht="14.1" customHeight="1">
      <c r="A1487" s="1160"/>
      <c r="B1487" s="1130"/>
      <c r="C1487" s="293" t="s">
        <v>87</v>
      </c>
      <c r="D1487" s="1156"/>
      <c r="E1487" s="1163"/>
      <c r="F1487" s="298">
        <f>'COMP AUX'!G152</f>
        <v>4.79</v>
      </c>
      <c r="G1487" s="312">
        <f>TRUNC(E1486*F1487,2)</f>
        <v>0.33</v>
      </c>
    </row>
    <row r="1488" spans="1:8" ht="14.1" customHeight="1">
      <c r="A1488" s="1159" t="s">
        <v>2217</v>
      </c>
      <c r="B1488" s="1129" t="s">
        <v>2218</v>
      </c>
      <c r="C1488" s="293" t="s">
        <v>104</v>
      </c>
      <c r="D1488" s="1155" t="s">
        <v>1316</v>
      </c>
      <c r="E1488" s="1165">
        <v>4.1999999999999997E-3</v>
      </c>
      <c r="F1488" s="298">
        <f>'COMP AUX'!G1680</f>
        <v>121.75</v>
      </c>
      <c r="G1488" s="312">
        <f>TRUNC(E1488*F1488,2)</f>
        <v>0.51</v>
      </c>
    </row>
    <row r="1489" spans="1:8" ht="14.1" customHeight="1">
      <c r="A1489" s="1160"/>
      <c r="B1489" s="1130"/>
      <c r="C1489" s="293" t="s">
        <v>87</v>
      </c>
      <c r="D1489" s="1156"/>
      <c r="E1489" s="1166"/>
      <c r="F1489" s="298">
        <f>'COMP AUX'!G1681</f>
        <v>307.09000000000003</v>
      </c>
      <c r="G1489" s="312">
        <f>TRUNC(E1488*F1489,2)</f>
        <v>1.28</v>
      </c>
    </row>
    <row r="1490" spans="1:8" ht="14.1" customHeight="1">
      <c r="F1490" s="360" t="s">
        <v>90</v>
      </c>
      <c r="G1490" s="322">
        <f>G1484+G1486+G1488</f>
        <v>1.6300000000000001</v>
      </c>
    </row>
    <row r="1491" spans="1:8" ht="14.1" customHeight="1">
      <c r="F1491" s="301" t="s">
        <v>92</v>
      </c>
      <c r="G1491" s="312">
        <f>G1485+G1487+G1489</f>
        <v>1.6400000000000001</v>
      </c>
    </row>
    <row r="1492" spans="1:8" ht="14.1" customHeight="1">
      <c r="A1492" s="122" t="s">
        <v>94</v>
      </c>
      <c r="F1492" s="301" t="s">
        <v>93</v>
      </c>
      <c r="G1492" s="313">
        <f>SUM(G1490:G1491)</f>
        <v>3.2700000000000005</v>
      </c>
    </row>
    <row r="1493" spans="1:8" ht="14.1" customHeight="1">
      <c r="A1493" s="300" t="s">
        <v>95</v>
      </c>
      <c r="B1493" s="385">
        <f>G1492</f>
        <v>3.2700000000000005</v>
      </c>
    </row>
    <row r="1494" spans="1:8" ht="14.1" customHeight="1">
      <c r="A1494" s="382" t="s">
        <v>2272</v>
      </c>
      <c r="B1494" s="381"/>
    </row>
    <row r="1495" spans="1:8" ht="14.1" customHeight="1">
      <c r="A1495" s="443" t="s">
        <v>2311</v>
      </c>
      <c r="B1495" s="381">
        <f>(B1493+B1494)*0.245</f>
        <v>0.80115000000000014</v>
      </c>
    </row>
    <row r="1496" spans="1:8" ht="14.1" customHeight="1">
      <c r="A1496" s="300" t="s">
        <v>98</v>
      </c>
      <c r="B1496" s="386">
        <f>SUM(B1493:B1495)</f>
        <v>4.0711500000000003</v>
      </c>
      <c r="H1496" s="394"/>
    </row>
    <row r="1497" spans="1:8" ht="11.25" customHeight="1">
      <c r="A1497" s="362"/>
      <c r="B1497" s="363"/>
      <c r="C1497" s="364"/>
      <c r="D1497" s="362"/>
      <c r="E1497" s="363"/>
      <c r="F1497" s="363"/>
      <c r="G1497" s="363"/>
      <c r="H1497" s="362"/>
    </row>
    <row r="1498" spans="1:8" ht="11.25" customHeight="1"/>
    <row r="1499" spans="1:8" ht="11.25" customHeight="1">
      <c r="A1499" s="122" t="s">
        <v>1194</v>
      </c>
    </row>
    <row r="1500" spans="1:8" ht="11.25" customHeight="1">
      <c r="A1500" s="148" t="s">
        <v>2222</v>
      </c>
    </row>
    <row r="1501" spans="1:8" ht="51" customHeight="1">
      <c r="A1501" s="352" t="s">
        <v>1450</v>
      </c>
      <c r="B1501" s="1161" t="s">
        <v>2223</v>
      </c>
      <c r="C1501" s="1161"/>
      <c r="D1501" s="1161"/>
      <c r="E1501" s="608" t="s">
        <v>1487</v>
      </c>
      <c r="F1501" s="122"/>
      <c r="G1501" s="353"/>
    </row>
    <row r="1502" spans="1:8" ht="25.5" customHeight="1">
      <c r="A1502" s="309" t="s">
        <v>30</v>
      </c>
      <c r="B1502" s="354" t="s">
        <v>19</v>
      </c>
      <c r="C1502" s="293" t="s">
        <v>81</v>
      </c>
      <c r="D1502" s="294" t="s">
        <v>77</v>
      </c>
      <c r="E1502" s="294" t="s">
        <v>82</v>
      </c>
      <c r="F1502" s="295" t="s">
        <v>83</v>
      </c>
      <c r="G1502" s="355" t="s">
        <v>84</v>
      </c>
    </row>
    <row r="1503" spans="1:8" ht="14.1" customHeight="1">
      <c r="A1503" s="1141" t="s">
        <v>1322</v>
      </c>
      <c r="B1503" s="1129" t="s">
        <v>110</v>
      </c>
      <c r="C1503" s="293" t="s">
        <v>104</v>
      </c>
      <c r="D1503" s="1131" t="s">
        <v>383</v>
      </c>
      <c r="E1503" s="1162">
        <v>0.21099999999999999</v>
      </c>
      <c r="F1503" s="298">
        <f>'COMP AUX'!G104</f>
        <v>11.18</v>
      </c>
      <c r="G1503" s="358">
        <f>TRUNC(E1503*F1503,2)</f>
        <v>2.35</v>
      </c>
    </row>
    <row r="1504" spans="1:8" ht="14.1" customHeight="1">
      <c r="A1504" s="1142"/>
      <c r="B1504" s="1130"/>
      <c r="C1504" s="293" t="s">
        <v>87</v>
      </c>
      <c r="D1504" s="1131"/>
      <c r="E1504" s="1163"/>
      <c r="F1504" s="298">
        <f>'COMP AUX'!G105</f>
        <v>4.7300000000000004</v>
      </c>
      <c r="G1504" s="296">
        <f>TRUNC(E1503*F1504,2)</f>
        <v>0.99</v>
      </c>
    </row>
    <row r="1505" spans="1:8" ht="14.1" customHeight="1">
      <c r="A1505" s="1159" t="s">
        <v>1520</v>
      </c>
      <c r="B1505" s="1129" t="s">
        <v>118</v>
      </c>
      <c r="C1505" s="293" t="s">
        <v>104</v>
      </c>
      <c r="D1505" s="1155" t="s">
        <v>383</v>
      </c>
      <c r="E1505" s="1162">
        <v>0.57999999999999996</v>
      </c>
      <c r="F1505" s="298">
        <f>'COMP AUX'!G151</f>
        <v>15.020000000000001</v>
      </c>
      <c r="G1505" s="312">
        <f t="shared" ref="G1505" si="65">TRUNC(E1505*F1505,2)</f>
        <v>8.7100000000000009</v>
      </c>
    </row>
    <row r="1506" spans="1:8" ht="14.1" customHeight="1">
      <c r="A1506" s="1160"/>
      <c r="B1506" s="1130"/>
      <c r="C1506" s="293" t="s">
        <v>87</v>
      </c>
      <c r="D1506" s="1156"/>
      <c r="E1506" s="1163"/>
      <c r="F1506" s="298">
        <f>'COMP AUX'!G152</f>
        <v>4.79</v>
      </c>
      <c r="G1506" s="312">
        <f>TRUNC(E1505*F1506,2)</f>
        <v>2.77</v>
      </c>
    </row>
    <row r="1507" spans="1:8" ht="20.100000000000001" customHeight="1">
      <c r="A1507" s="1159">
        <v>87292</v>
      </c>
      <c r="B1507" s="1129" t="s">
        <v>2211</v>
      </c>
      <c r="C1507" s="293" t="s">
        <v>104</v>
      </c>
      <c r="D1507" s="1155" t="s">
        <v>1316</v>
      </c>
      <c r="E1507" s="1165">
        <v>3.7600000000000001E-2</v>
      </c>
      <c r="F1507" s="298">
        <f>'COMP AUX'!G1667</f>
        <v>48.83</v>
      </c>
      <c r="G1507" s="312">
        <f>TRUNC(E1507*F1507,2)</f>
        <v>1.83</v>
      </c>
    </row>
    <row r="1508" spans="1:8" ht="20.100000000000001" customHeight="1">
      <c r="A1508" s="1160"/>
      <c r="B1508" s="1130"/>
      <c r="C1508" s="293" t="s">
        <v>87</v>
      </c>
      <c r="D1508" s="1156"/>
      <c r="E1508" s="1166"/>
      <c r="F1508" s="298">
        <f>'COMP AUX'!G1668</f>
        <v>318.97000000000003</v>
      </c>
      <c r="G1508" s="312">
        <f>TRUNC(E1507*F1508,2)</f>
        <v>11.99</v>
      </c>
    </row>
    <row r="1509" spans="1:8" ht="14.1" customHeight="1">
      <c r="F1509" s="360" t="s">
        <v>90</v>
      </c>
      <c r="G1509" s="322">
        <f>G1503+G1505+G1507</f>
        <v>12.89</v>
      </c>
    </row>
    <row r="1510" spans="1:8" ht="14.1" customHeight="1">
      <c r="F1510" s="301" t="s">
        <v>92</v>
      </c>
      <c r="G1510" s="312">
        <f>G1504+G1506+G1508</f>
        <v>15.75</v>
      </c>
    </row>
    <row r="1511" spans="1:8" ht="14.1" customHeight="1">
      <c r="A1511" s="122" t="s">
        <v>94</v>
      </c>
      <c r="F1511" s="301" t="s">
        <v>93</v>
      </c>
      <c r="G1511" s="313">
        <f>SUM(G1509:G1510)</f>
        <v>28.64</v>
      </c>
    </row>
    <row r="1512" spans="1:8" ht="14.1" customHeight="1">
      <c r="A1512" s="300" t="s">
        <v>95</v>
      </c>
      <c r="B1512" s="385">
        <f>G1511</f>
        <v>28.64</v>
      </c>
    </row>
    <row r="1513" spans="1:8" ht="14.1" customHeight="1">
      <c r="A1513" s="382" t="s">
        <v>2272</v>
      </c>
      <c r="B1513" s="381"/>
    </row>
    <row r="1514" spans="1:8" ht="14.1" customHeight="1">
      <c r="A1514" s="443" t="s">
        <v>2311</v>
      </c>
      <c r="B1514" s="381">
        <f>(B1512+B1513)*0.245</f>
        <v>7.0167999999999999</v>
      </c>
    </row>
    <row r="1515" spans="1:8" ht="14.1" customHeight="1">
      <c r="A1515" s="300" t="s">
        <v>98</v>
      </c>
      <c r="B1515" s="386">
        <f>SUM(B1512:B1514)</f>
        <v>35.656800000000004</v>
      </c>
      <c r="H1515" s="394"/>
    </row>
    <row r="1516" spans="1:8" ht="11.25" customHeight="1">
      <c r="A1516" s="362"/>
      <c r="B1516" s="363"/>
      <c r="C1516" s="364"/>
      <c r="D1516" s="362"/>
      <c r="E1516" s="363"/>
      <c r="F1516" s="363"/>
      <c r="G1516" s="363"/>
      <c r="H1516" s="362"/>
    </row>
    <row r="1517" spans="1:8" ht="11.25" customHeight="1"/>
    <row r="1518" spans="1:8" ht="11.25" customHeight="1">
      <c r="A1518" s="122" t="s">
        <v>2709</v>
      </c>
    </row>
    <row r="1519" spans="1:8" ht="11.25" customHeight="1">
      <c r="A1519" s="148" t="s">
        <v>2220</v>
      </c>
    </row>
    <row r="1520" spans="1:8" ht="39" customHeight="1">
      <c r="A1520" s="352" t="s">
        <v>1450</v>
      </c>
      <c r="B1520" s="1161" t="s">
        <v>2221</v>
      </c>
      <c r="C1520" s="1161"/>
      <c r="D1520" s="1161"/>
      <c r="E1520" s="494" t="s">
        <v>1487</v>
      </c>
      <c r="F1520" s="122"/>
      <c r="G1520" s="353"/>
    </row>
    <row r="1521" spans="1:8" ht="21" customHeight="1">
      <c r="A1521" s="309" t="s">
        <v>30</v>
      </c>
      <c r="B1521" s="354" t="s">
        <v>19</v>
      </c>
      <c r="C1521" s="293" t="s">
        <v>81</v>
      </c>
      <c r="D1521" s="294" t="s">
        <v>77</v>
      </c>
      <c r="E1521" s="294" t="s">
        <v>82</v>
      </c>
      <c r="F1521" s="295" t="s">
        <v>83</v>
      </c>
      <c r="G1521" s="355" t="s">
        <v>84</v>
      </c>
    </row>
    <row r="1522" spans="1:8" ht="15" customHeight="1">
      <c r="A1522" s="1141" t="s">
        <v>1322</v>
      </c>
      <c r="B1522" s="1129" t="s">
        <v>110</v>
      </c>
      <c r="C1522" s="293" t="s">
        <v>104</v>
      </c>
      <c r="D1522" s="1131" t="s">
        <v>383</v>
      </c>
      <c r="E1522" s="1162">
        <v>0.17100000000000001</v>
      </c>
      <c r="F1522" s="298">
        <f>'COMP AUX'!G104</f>
        <v>11.18</v>
      </c>
      <c r="G1522" s="358">
        <f>TRUNC(E1522*F1522,2)</f>
        <v>1.91</v>
      </c>
    </row>
    <row r="1523" spans="1:8" ht="15" customHeight="1">
      <c r="A1523" s="1142"/>
      <c r="B1523" s="1130"/>
      <c r="C1523" s="293" t="s">
        <v>87</v>
      </c>
      <c r="D1523" s="1131"/>
      <c r="E1523" s="1163"/>
      <c r="F1523" s="298">
        <f>'COMP AUX'!G105</f>
        <v>4.7300000000000004</v>
      </c>
      <c r="G1523" s="296">
        <f>TRUNC(E1522*F1523,2)</f>
        <v>0.8</v>
      </c>
    </row>
    <row r="1524" spans="1:8" ht="15" customHeight="1">
      <c r="A1524" s="1159" t="s">
        <v>1520</v>
      </c>
      <c r="B1524" s="1129" t="s">
        <v>118</v>
      </c>
      <c r="C1524" s="293" t="s">
        <v>104</v>
      </c>
      <c r="D1524" s="1155" t="s">
        <v>383</v>
      </c>
      <c r="E1524" s="1162">
        <v>0.47</v>
      </c>
      <c r="F1524" s="298">
        <f>'COMP AUX'!G151</f>
        <v>15.020000000000001</v>
      </c>
      <c r="G1524" s="312">
        <f t="shared" ref="G1524" si="66">TRUNC(E1524*F1524,2)</f>
        <v>7.05</v>
      </c>
    </row>
    <row r="1525" spans="1:8" ht="15" customHeight="1">
      <c r="A1525" s="1160"/>
      <c r="B1525" s="1130"/>
      <c r="C1525" s="293" t="s">
        <v>87</v>
      </c>
      <c r="D1525" s="1156"/>
      <c r="E1525" s="1163"/>
      <c r="F1525" s="298">
        <f>'COMP AUX'!G152</f>
        <v>4.79</v>
      </c>
      <c r="G1525" s="312">
        <f>TRUNC(E1524*F1525,2)</f>
        <v>2.25</v>
      </c>
    </row>
    <row r="1526" spans="1:8" ht="20.100000000000001" customHeight="1">
      <c r="A1526" s="1159">
        <v>87292</v>
      </c>
      <c r="B1526" s="1129" t="s">
        <v>2211</v>
      </c>
      <c r="C1526" s="293" t="s">
        <v>104</v>
      </c>
      <c r="D1526" s="1155" t="s">
        <v>1316</v>
      </c>
      <c r="E1526" s="1165">
        <v>3.7600000000000001E-2</v>
      </c>
      <c r="F1526" s="298">
        <f>'COMP AUX'!G1667</f>
        <v>48.83</v>
      </c>
      <c r="G1526" s="312">
        <f>TRUNC(E1526*F1526,2)</f>
        <v>1.83</v>
      </c>
    </row>
    <row r="1527" spans="1:8" ht="20.100000000000001" customHeight="1">
      <c r="A1527" s="1160"/>
      <c r="B1527" s="1130"/>
      <c r="C1527" s="293" t="s">
        <v>87</v>
      </c>
      <c r="D1527" s="1156"/>
      <c r="E1527" s="1166"/>
      <c r="F1527" s="298">
        <f>'COMP AUX'!G1668</f>
        <v>318.97000000000003</v>
      </c>
      <c r="G1527" s="312">
        <f>TRUNC(E1526*F1527,2)</f>
        <v>11.99</v>
      </c>
    </row>
    <row r="1528" spans="1:8" ht="15" customHeight="1">
      <c r="F1528" s="360" t="s">
        <v>90</v>
      </c>
      <c r="G1528" s="322">
        <f>G1522+G1524+G1526</f>
        <v>10.79</v>
      </c>
    </row>
    <row r="1529" spans="1:8" ht="15" customHeight="1">
      <c r="F1529" s="301" t="s">
        <v>92</v>
      </c>
      <c r="G1529" s="312">
        <f>G1523+G1525+G1527</f>
        <v>15.04</v>
      </c>
    </row>
    <row r="1530" spans="1:8" ht="15" customHeight="1">
      <c r="A1530" s="122" t="s">
        <v>94</v>
      </c>
      <c r="F1530" s="301" t="s">
        <v>93</v>
      </c>
      <c r="G1530" s="820">
        <f>SUM(G1528:G1529)</f>
        <v>25.83</v>
      </c>
    </row>
    <row r="1531" spans="1:8" ht="15" customHeight="1">
      <c r="A1531" s="300" t="s">
        <v>95</v>
      </c>
      <c r="B1531" s="385">
        <f>G1530</f>
        <v>25.83</v>
      </c>
    </row>
    <row r="1532" spans="1:8" ht="15" customHeight="1">
      <c r="A1532" s="382" t="s">
        <v>2272</v>
      </c>
      <c r="B1532" s="381"/>
    </row>
    <row r="1533" spans="1:8" ht="15" customHeight="1">
      <c r="A1533" s="443" t="s">
        <v>2311</v>
      </c>
      <c r="B1533" s="381">
        <f>(B1531+B1532)*0.245</f>
        <v>6.3283499999999995</v>
      </c>
    </row>
    <row r="1534" spans="1:8" ht="15" customHeight="1">
      <c r="A1534" s="300" t="s">
        <v>98</v>
      </c>
      <c r="B1534" s="386">
        <f>SUM(B1531:B1533)</f>
        <v>32.158349999999999</v>
      </c>
      <c r="H1534" s="394"/>
    </row>
    <row r="1535" spans="1:8" ht="11.25" customHeight="1">
      <c r="A1535" s="362"/>
      <c r="B1535" s="363"/>
      <c r="C1535" s="364"/>
      <c r="D1535" s="362"/>
      <c r="E1535" s="363"/>
      <c r="F1535" s="363"/>
      <c r="G1535" s="363"/>
      <c r="H1535" s="362"/>
    </row>
    <row r="1536" spans="1:8" ht="11.25" customHeight="1"/>
    <row r="1537" spans="1:9" ht="11.25" customHeight="1">
      <c r="A1537" s="826" t="s">
        <v>2709</v>
      </c>
    </row>
    <row r="1538" spans="1:9" ht="11.25" customHeight="1">
      <c r="A1538" s="849" t="s">
        <v>3043</v>
      </c>
      <c r="B1538" s="128" t="s">
        <v>3044</v>
      </c>
    </row>
    <row r="1539" spans="1:9" ht="21" customHeight="1">
      <c r="A1539" s="352" t="s">
        <v>1450</v>
      </c>
      <c r="B1539" s="1161" t="s">
        <v>3045</v>
      </c>
      <c r="C1539" s="1161"/>
      <c r="D1539" s="1161"/>
      <c r="E1539" s="494" t="s">
        <v>2713</v>
      </c>
      <c r="F1539" s="122"/>
      <c r="G1539" s="353"/>
    </row>
    <row r="1540" spans="1:9" ht="21" customHeight="1">
      <c r="A1540" s="945" t="s">
        <v>30</v>
      </c>
      <c r="B1540" s="354" t="s">
        <v>19</v>
      </c>
      <c r="C1540" s="293" t="s">
        <v>81</v>
      </c>
      <c r="D1540" s="908" t="s">
        <v>77</v>
      </c>
      <c r="E1540" s="908" t="s">
        <v>82</v>
      </c>
      <c r="F1540" s="909" t="s">
        <v>83</v>
      </c>
      <c r="G1540" s="355" t="s">
        <v>84</v>
      </c>
    </row>
    <row r="1541" spans="1:9" ht="15" customHeight="1">
      <c r="A1541" s="1141">
        <v>88316</v>
      </c>
      <c r="B1541" s="1129" t="s">
        <v>110</v>
      </c>
      <c r="C1541" s="293" t="s">
        <v>104</v>
      </c>
      <c r="D1541" s="1131" t="s">
        <v>383</v>
      </c>
      <c r="E1541" s="1157">
        <v>1.7204999999999999</v>
      </c>
      <c r="F1541" s="831">
        <f>'COMP AUX'!G104</f>
        <v>11.18</v>
      </c>
      <c r="G1541" s="841">
        <f>TRUNC(E1541*F1541,2)</f>
        <v>19.23</v>
      </c>
    </row>
    <row r="1542" spans="1:9" ht="15" customHeight="1">
      <c r="A1542" s="1142"/>
      <c r="B1542" s="1130"/>
      <c r="C1542" s="293" t="s">
        <v>87</v>
      </c>
      <c r="D1542" s="1131"/>
      <c r="E1542" s="1158"/>
      <c r="F1542" s="831">
        <f>'COMP AUX'!G105</f>
        <v>4.7300000000000004</v>
      </c>
      <c r="G1542" s="1004">
        <f>TRUNC(E1541*F1542,2)</f>
        <v>8.1300000000000008</v>
      </c>
    </row>
    <row r="1543" spans="1:9" ht="15" customHeight="1">
      <c r="A1543" s="1159" t="s">
        <v>1520</v>
      </c>
      <c r="B1543" s="1129" t="s">
        <v>118</v>
      </c>
      <c r="C1543" s="293" t="s">
        <v>104</v>
      </c>
      <c r="D1543" s="1155" t="s">
        <v>383</v>
      </c>
      <c r="E1543" s="1157">
        <v>1.7204999999999999</v>
      </c>
      <c r="F1543" s="831">
        <f>'COMP AUX'!G151</f>
        <v>15.020000000000001</v>
      </c>
      <c r="G1543" s="959">
        <f>TRUNC(E1543*F1543,2)</f>
        <v>25.84</v>
      </c>
    </row>
    <row r="1544" spans="1:9" ht="15" customHeight="1">
      <c r="A1544" s="1160"/>
      <c r="B1544" s="1130"/>
      <c r="C1544" s="293" t="s">
        <v>87</v>
      </c>
      <c r="D1544" s="1156"/>
      <c r="E1544" s="1158"/>
      <c r="F1544" s="831">
        <f>'COMP AUX'!G152</f>
        <v>4.79</v>
      </c>
      <c r="G1544" s="959">
        <f>TRUNC(E1543*F1544,2)</f>
        <v>8.24</v>
      </c>
    </row>
    <row r="1545" spans="1:9" ht="20.100000000000001" customHeight="1">
      <c r="A1545" s="1159">
        <v>87316</v>
      </c>
      <c r="B1545" s="1151" t="s">
        <v>2729</v>
      </c>
      <c r="C1545" s="293" t="s">
        <v>104</v>
      </c>
      <c r="D1545" s="1155" t="s">
        <v>1316</v>
      </c>
      <c r="E1545" s="1157">
        <v>4.0000000000000002E-4</v>
      </c>
      <c r="F1545" s="831">
        <f>'COMP AUX'!G1696</f>
        <v>47.69</v>
      </c>
      <c r="G1545" s="959">
        <f>TRUNC(E1545*F1545,2)</f>
        <v>0.01</v>
      </c>
    </row>
    <row r="1546" spans="1:9" ht="20.100000000000001" customHeight="1">
      <c r="A1546" s="1160"/>
      <c r="B1546" s="1152"/>
      <c r="C1546" s="293" t="s">
        <v>87</v>
      </c>
      <c r="D1546" s="1156"/>
      <c r="E1546" s="1158"/>
      <c r="F1546" s="831">
        <f>'COMP AUX'!G1697</f>
        <v>257.14</v>
      </c>
      <c r="G1546" s="959">
        <f>TRUNC(E1545*F1546,2)</f>
        <v>0.1</v>
      </c>
    </row>
    <row r="1547" spans="1:9" ht="16.5" customHeight="1">
      <c r="A1547" s="1159">
        <v>94097</v>
      </c>
      <c r="B1547" s="1129" t="s">
        <v>2766</v>
      </c>
      <c r="C1547" s="293" t="s">
        <v>104</v>
      </c>
      <c r="D1547" s="1167" t="s">
        <v>1553</v>
      </c>
      <c r="E1547" s="1172">
        <v>0.36</v>
      </c>
      <c r="F1547" s="831">
        <f>'COMP AUX'!G1738</f>
        <v>1.56</v>
      </c>
      <c r="G1547" s="959">
        <f>TRUNC(E1547*F1547,2)</f>
        <v>0.56000000000000005</v>
      </c>
    </row>
    <row r="1548" spans="1:9" ht="15" customHeight="1">
      <c r="A1548" s="1164"/>
      <c r="B1548" s="1130"/>
      <c r="C1548" s="293" t="s">
        <v>87</v>
      </c>
      <c r="D1548" s="1167"/>
      <c r="E1548" s="1172"/>
      <c r="F1548" s="831">
        <f>'COMP AUX'!G1739</f>
        <v>3.06</v>
      </c>
      <c r="G1548" s="959">
        <f>TRUNC(E1547*F1548,2)</f>
        <v>1.1000000000000001</v>
      </c>
    </row>
    <row r="1549" spans="1:9" ht="20.100000000000001" customHeight="1">
      <c r="A1549" s="1168">
        <v>94970</v>
      </c>
      <c r="B1549" s="861" t="s">
        <v>2767</v>
      </c>
      <c r="C1549" s="293" t="s">
        <v>104</v>
      </c>
      <c r="D1549" s="1167" t="s">
        <v>438</v>
      </c>
      <c r="E1549" s="1172">
        <v>2.9100000000000001E-2</v>
      </c>
      <c r="F1549" s="863">
        <f>'COMP AUX'!G907</f>
        <v>35.8538</v>
      </c>
      <c r="G1549" s="312">
        <f>TRUNC(E1549*F1549,2)</f>
        <v>1.04</v>
      </c>
    </row>
    <row r="1550" spans="1:9" ht="20.100000000000001" customHeight="1">
      <c r="A1550" s="1160"/>
      <c r="B1550" s="861"/>
      <c r="C1550" s="293" t="s">
        <v>87</v>
      </c>
      <c r="D1550" s="1167"/>
      <c r="E1550" s="1172"/>
      <c r="F1550" s="863">
        <f>'COMP AUX'!G908</f>
        <v>272.17680000000001</v>
      </c>
      <c r="G1550" s="312">
        <f>TRUNC(E1549*F1550,2)</f>
        <v>7.92</v>
      </c>
      <c r="I1550" s="122" t="s">
        <v>2773</v>
      </c>
    </row>
    <row r="1551" spans="1:9" ht="20.100000000000001" customHeight="1">
      <c r="A1551" s="1159">
        <v>100475</v>
      </c>
      <c r="B1551" s="1129" t="s">
        <v>2781</v>
      </c>
      <c r="C1551" s="293" t="s">
        <v>104</v>
      </c>
      <c r="D1551" s="1155" t="s">
        <v>1316</v>
      </c>
      <c r="E1551" s="1157">
        <v>0.03</v>
      </c>
      <c r="F1551" s="831">
        <v>53.55</v>
      </c>
      <c r="G1551" s="312">
        <f>E1551*F1551</f>
        <v>1.6064999999999998</v>
      </c>
    </row>
    <row r="1552" spans="1:9" ht="20.100000000000001" customHeight="1">
      <c r="A1552" s="1160"/>
      <c r="B1552" s="1130"/>
      <c r="C1552" s="293" t="s">
        <v>87</v>
      </c>
      <c r="D1552" s="1156"/>
      <c r="E1552" s="1158"/>
      <c r="F1552" s="831">
        <v>405.61</v>
      </c>
      <c r="G1552" s="312">
        <f>E1551*F1552</f>
        <v>12.1683</v>
      </c>
    </row>
    <row r="1553" spans="1:8" ht="20.100000000000001" customHeight="1">
      <c r="A1553" s="1159">
        <v>97734</v>
      </c>
      <c r="B1553" s="1129" t="s">
        <v>2771</v>
      </c>
      <c r="C1553" s="293" t="s">
        <v>104</v>
      </c>
      <c r="D1553" s="1155" t="s">
        <v>1316</v>
      </c>
      <c r="E1553" s="1157">
        <v>1.7500000000000002E-2</v>
      </c>
      <c r="F1553" s="831">
        <v>1272.01</v>
      </c>
      <c r="G1553" s="312">
        <f>TRUNC(E1553*F1553,2)</f>
        <v>22.26</v>
      </c>
    </row>
    <row r="1554" spans="1:8" ht="20.100000000000001" customHeight="1">
      <c r="A1554" s="1160"/>
      <c r="B1554" s="1130"/>
      <c r="C1554" s="293" t="s">
        <v>87</v>
      </c>
      <c r="D1554" s="1156"/>
      <c r="E1554" s="1158"/>
      <c r="F1554" s="831">
        <v>834.22</v>
      </c>
      <c r="G1554" s="312">
        <f>TRUNC(E1553*F1554,2)</f>
        <v>14.59</v>
      </c>
    </row>
    <row r="1555" spans="1:8" ht="20.100000000000001" customHeight="1">
      <c r="A1555" s="348" t="s">
        <v>2772</v>
      </c>
      <c r="B1555" s="464" t="s">
        <v>2302</v>
      </c>
      <c r="C1555" s="293" t="s">
        <v>87</v>
      </c>
      <c r="D1555" s="909" t="s">
        <v>381</v>
      </c>
      <c r="E1555" s="966">
        <v>46.689</v>
      </c>
      <c r="F1555" s="831">
        <v>0.37</v>
      </c>
      <c r="G1555" s="312">
        <f>TRUNC(E1555*F1555,2)</f>
        <v>17.27</v>
      </c>
    </row>
    <row r="1556" spans="1:8" ht="15" customHeight="1">
      <c r="A1556" s="865"/>
      <c r="F1556" s="360" t="s">
        <v>90</v>
      </c>
      <c r="G1556" s="322">
        <f>G1541+G1543+G1545+G1547+G1549+G1551+G1553</f>
        <v>70.546499999999995</v>
      </c>
    </row>
    <row r="1557" spans="1:8" ht="15" customHeight="1">
      <c r="F1557" s="301" t="s">
        <v>92</v>
      </c>
      <c r="G1557" s="312">
        <f>G1542+G1544+G1546+G1548+G1550+G1552+G1554+G1555</f>
        <v>69.518299999999996</v>
      </c>
    </row>
    <row r="1558" spans="1:8" ht="15" customHeight="1">
      <c r="A1558" s="122" t="s">
        <v>94</v>
      </c>
      <c r="F1558" s="301" t="s">
        <v>93</v>
      </c>
      <c r="G1558" s="820">
        <f>SUM(G1556:G1557)</f>
        <v>140.06479999999999</v>
      </c>
    </row>
    <row r="1559" spans="1:8" ht="15" customHeight="1">
      <c r="A1559" s="300" t="s">
        <v>95</v>
      </c>
      <c r="B1559" s="385">
        <f>G1558</f>
        <v>140.06479999999999</v>
      </c>
    </row>
    <row r="1560" spans="1:8" ht="15" customHeight="1">
      <c r="A1560" s="382" t="s">
        <v>2272</v>
      </c>
      <c r="B1560" s="381"/>
    </row>
    <row r="1561" spans="1:8" ht="15" customHeight="1">
      <c r="A1561" s="443" t="s">
        <v>2311</v>
      </c>
      <c r="B1561" s="381">
        <f>(B1559+B1560)*0.245</f>
        <v>34.315875999999996</v>
      </c>
    </row>
    <row r="1562" spans="1:8" ht="15" customHeight="1">
      <c r="A1562" s="300" t="s">
        <v>98</v>
      </c>
      <c r="B1562" s="386">
        <f>SUM(B1559:B1561)</f>
        <v>174.38067599999999</v>
      </c>
      <c r="H1562" s="394"/>
    </row>
    <row r="1563" spans="1:8" ht="11.25" customHeight="1">
      <c r="A1563" s="362"/>
      <c r="B1563" s="363"/>
      <c r="C1563" s="364"/>
      <c r="D1563" s="362"/>
      <c r="E1563" s="363"/>
      <c r="F1563" s="363"/>
      <c r="G1563" s="363"/>
      <c r="H1563" s="362"/>
    </row>
    <row r="1564" spans="1:8" ht="11.25" customHeight="1"/>
    <row r="1565" spans="1:8" ht="11.25" customHeight="1">
      <c r="A1565" s="122" t="s">
        <v>1194</v>
      </c>
    </row>
    <row r="1566" spans="1:8" ht="11.25" customHeight="1">
      <c r="A1566" s="879" t="s">
        <v>2899</v>
      </c>
      <c r="B1566" s="128">
        <v>97901</v>
      </c>
    </row>
    <row r="1567" spans="1:8" ht="25.5" customHeight="1">
      <c r="A1567" s="352" t="s">
        <v>1450</v>
      </c>
      <c r="B1567" s="1184" t="s">
        <v>2900</v>
      </c>
      <c r="C1567" s="1184"/>
      <c r="D1567" s="1184"/>
      <c r="E1567" s="494" t="s">
        <v>2713</v>
      </c>
      <c r="F1567" s="122"/>
      <c r="G1567" s="353"/>
    </row>
    <row r="1568" spans="1:8" ht="21" customHeight="1">
      <c r="A1568" s="790" t="s">
        <v>30</v>
      </c>
      <c r="B1568" s="354" t="s">
        <v>19</v>
      </c>
      <c r="C1568" s="293" t="s">
        <v>81</v>
      </c>
      <c r="D1568" s="780" t="s">
        <v>77</v>
      </c>
      <c r="E1568" s="780" t="s">
        <v>82</v>
      </c>
      <c r="F1568" s="295" t="s">
        <v>83</v>
      </c>
      <c r="G1568" s="355" t="s">
        <v>84</v>
      </c>
    </row>
    <row r="1569" spans="1:7" ht="15" customHeight="1">
      <c r="A1569" s="1141">
        <v>88316</v>
      </c>
      <c r="B1569" s="1129" t="s">
        <v>110</v>
      </c>
      <c r="C1569" s="293" t="s">
        <v>104</v>
      </c>
      <c r="D1569" s="1131" t="s">
        <v>383</v>
      </c>
      <c r="E1569" s="1162">
        <v>1.6020000000000001</v>
      </c>
      <c r="F1569" s="825">
        <f>'COMP AUX'!G104</f>
        <v>11.18</v>
      </c>
      <c r="G1569" s="358">
        <f>TRUNC(E1569*F1569,2)</f>
        <v>17.91</v>
      </c>
    </row>
    <row r="1570" spans="1:7" ht="15" customHeight="1">
      <c r="A1570" s="1142"/>
      <c r="B1570" s="1130"/>
      <c r="C1570" s="293" t="s">
        <v>87</v>
      </c>
      <c r="D1570" s="1131"/>
      <c r="E1570" s="1163"/>
      <c r="F1570" s="825">
        <f>'COMP AUX'!G105</f>
        <v>4.7300000000000004</v>
      </c>
      <c r="G1570" s="296">
        <f>TRUNC(E1569*F1570,2)</f>
        <v>7.57</v>
      </c>
    </row>
    <row r="1571" spans="1:7" ht="15" customHeight="1">
      <c r="A1571" s="1159" t="s">
        <v>1520</v>
      </c>
      <c r="B1571" s="1129" t="s">
        <v>118</v>
      </c>
      <c r="C1571" s="293" t="s">
        <v>104</v>
      </c>
      <c r="D1571" s="1155" t="s">
        <v>383</v>
      </c>
      <c r="E1571" s="1162">
        <v>1.6020000000000001</v>
      </c>
      <c r="F1571" s="825">
        <f>'COMP AUX'!G151</f>
        <v>15.020000000000001</v>
      </c>
      <c r="G1571" s="312">
        <f t="shared" ref="G1571" si="67">TRUNC(E1571*F1571,2)</f>
        <v>24.06</v>
      </c>
    </row>
    <row r="1572" spans="1:7" ht="15" customHeight="1">
      <c r="A1572" s="1160"/>
      <c r="B1572" s="1130"/>
      <c r="C1572" s="293" t="s">
        <v>87</v>
      </c>
      <c r="D1572" s="1156"/>
      <c r="E1572" s="1163"/>
      <c r="F1572" s="825">
        <f>'COMP AUX'!G152</f>
        <v>4.79</v>
      </c>
      <c r="G1572" s="312">
        <f>TRUNC(E1571*F1572,2)</f>
        <v>7.67</v>
      </c>
    </row>
    <row r="1573" spans="1:7" ht="20.100000000000001" customHeight="1">
      <c r="A1573" s="1159">
        <v>87292</v>
      </c>
      <c r="B1573" s="1129" t="s">
        <v>2211</v>
      </c>
      <c r="C1573" s="293" t="s">
        <v>104</v>
      </c>
      <c r="D1573" s="1155" t="s">
        <v>1316</v>
      </c>
      <c r="E1573" s="1165">
        <v>3.3700000000000001E-4</v>
      </c>
      <c r="F1573" s="825">
        <f>'COMP AUX'!G1667</f>
        <v>48.83</v>
      </c>
      <c r="G1573" s="312">
        <f>TRUNC(E1573*F1573,2)</f>
        <v>0.01</v>
      </c>
    </row>
    <row r="1574" spans="1:7" ht="20.100000000000001" customHeight="1">
      <c r="A1574" s="1160"/>
      <c r="B1574" s="1130"/>
      <c r="C1574" s="293" t="s">
        <v>87</v>
      </c>
      <c r="D1574" s="1156"/>
      <c r="E1574" s="1166"/>
      <c r="F1574" s="825">
        <f>'COMP AUX'!G1668</f>
        <v>318.97000000000003</v>
      </c>
      <c r="G1574" s="312">
        <f>TRUNC(E1573*F1574,2)</f>
        <v>0.1</v>
      </c>
    </row>
    <row r="1575" spans="1:7" ht="16.5" customHeight="1">
      <c r="A1575" s="1159">
        <v>94097</v>
      </c>
      <c r="B1575" s="1129" t="s">
        <v>2766</v>
      </c>
      <c r="C1575" s="293" t="s">
        <v>104</v>
      </c>
      <c r="D1575" s="1167" t="s">
        <v>1553</v>
      </c>
      <c r="E1575" s="1169">
        <v>0.36</v>
      </c>
      <c r="F1575" s="825">
        <f>'COMP AUX'!G1738</f>
        <v>1.56</v>
      </c>
      <c r="G1575" s="312">
        <f>TRUNC(E1575*F1575,2)</f>
        <v>0.56000000000000005</v>
      </c>
    </row>
    <row r="1576" spans="1:7" ht="15" customHeight="1">
      <c r="A1576" s="1164"/>
      <c r="B1576" s="1130"/>
      <c r="C1576" s="293" t="s">
        <v>87</v>
      </c>
      <c r="D1576" s="1167"/>
      <c r="E1576" s="1169"/>
      <c r="F1576" s="825">
        <f>'COMP AUX'!G1739</f>
        <v>3.06</v>
      </c>
      <c r="G1576" s="312">
        <f>TRUNC(E1575*F1576,2)</f>
        <v>1.1000000000000001</v>
      </c>
    </row>
    <row r="1577" spans="1:7" ht="20.100000000000001" customHeight="1">
      <c r="A1577" s="1168">
        <v>94970</v>
      </c>
      <c r="B1577" s="861" t="s">
        <v>2767</v>
      </c>
      <c r="C1577" s="293" t="s">
        <v>104</v>
      </c>
      <c r="D1577" s="1167" t="s">
        <v>438</v>
      </c>
      <c r="E1577" s="1169">
        <v>2.35E-2</v>
      </c>
      <c r="F1577" s="863">
        <f>'COMP AUX'!G907</f>
        <v>35.8538</v>
      </c>
      <c r="G1577" s="312">
        <f>TRUNC(E1577*F1577,2)</f>
        <v>0.84</v>
      </c>
    </row>
    <row r="1578" spans="1:7" ht="20.100000000000001" customHeight="1">
      <c r="A1578" s="1160"/>
      <c r="B1578" s="861"/>
      <c r="C1578" s="293" t="s">
        <v>87</v>
      </c>
      <c r="D1578" s="1167"/>
      <c r="E1578" s="1169"/>
      <c r="F1578" s="863">
        <f>'COMP AUX'!G908</f>
        <v>272.17680000000001</v>
      </c>
      <c r="G1578" s="312">
        <f>TRUNC(E1577*F1578,2)</f>
        <v>6.39</v>
      </c>
    </row>
    <row r="1579" spans="1:7" ht="20.100000000000001" customHeight="1">
      <c r="A1579" s="1159">
        <v>100475</v>
      </c>
      <c r="B1579" s="1129" t="s">
        <v>2768</v>
      </c>
      <c r="C1579" s="293" t="s">
        <v>104</v>
      </c>
      <c r="D1579" s="1155" t="s">
        <v>1316</v>
      </c>
      <c r="E1579" s="1165">
        <v>2.8899999999999999E-2</v>
      </c>
      <c r="F1579" s="825">
        <f>'COMP AUX'!G1723</f>
        <v>332.56</v>
      </c>
      <c r="G1579" s="312">
        <f>TRUNC(E1581*F1579,2)</f>
        <v>4.68</v>
      </c>
    </row>
    <row r="1580" spans="1:7" ht="20.100000000000001" customHeight="1">
      <c r="A1580" s="1160"/>
      <c r="B1580" s="1130"/>
      <c r="C1580" s="293" t="s">
        <v>87</v>
      </c>
      <c r="D1580" s="1156"/>
      <c r="E1580" s="1166"/>
      <c r="F1580" s="825">
        <f>'COMP AUX'!G1724</f>
        <v>80.459999999999994</v>
      </c>
      <c r="G1580" s="312">
        <f>TRUNC(E1581*F1580,2)</f>
        <v>1.1299999999999999</v>
      </c>
    </row>
    <row r="1581" spans="1:7" ht="20.100000000000001" customHeight="1">
      <c r="A1581" s="1159">
        <v>97734</v>
      </c>
      <c r="B1581" s="1129" t="s">
        <v>2771</v>
      </c>
      <c r="C1581" s="293" t="s">
        <v>104</v>
      </c>
      <c r="D1581" s="1155" t="s">
        <v>1316</v>
      </c>
      <c r="E1581" s="1165">
        <v>1.41E-2</v>
      </c>
      <c r="F1581" s="825">
        <v>1254.5999999999999</v>
      </c>
      <c r="G1581" s="312">
        <f>TRUNC(E1581*F1581,2)</f>
        <v>17.68</v>
      </c>
    </row>
    <row r="1582" spans="1:7" ht="20.100000000000001" customHeight="1">
      <c r="A1582" s="1160"/>
      <c r="B1582" s="1130"/>
      <c r="C1582" s="293" t="s">
        <v>87</v>
      </c>
      <c r="D1582" s="1156"/>
      <c r="E1582" s="1166"/>
      <c r="F1582" s="825">
        <v>779.36</v>
      </c>
      <c r="G1582" s="312">
        <f>TRUNC(E1581*F1582,2)</f>
        <v>10.98</v>
      </c>
    </row>
    <row r="1583" spans="1:7" ht="20.100000000000001" customHeight="1">
      <c r="A1583" s="348" t="s">
        <v>2772</v>
      </c>
      <c r="B1583" s="464" t="s">
        <v>2302</v>
      </c>
      <c r="C1583" s="293" t="s">
        <v>87</v>
      </c>
      <c r="D1583" s="909" t="s">
        <v>381</v>
      </c>
      <c r="E1583" s="851">
        <v>57.6</v>
      </c>
      <c r="F1583" s="863">
        <v>0.33</v>
      </c>
      <c r="G1583" s="312">
        <f>TRUNC(E1583*F1583,2)</f>
        <v>19</v>
      </c>
    </row>
    <row r="1584" spans="1:7" ht="15" customHeight="1">
      <c r="A1584" s="865"/>
      <c r="F1584" s="360" t="s">
        <v>90</v>
      </c>
      <c r="G1584" s="322">
        <f>G1569+G1571+G1573+G1575+G1577+G1579+G1581</f>
        <v>65.740000000000009</v>
      </c>
    </row>
    <row r="1585" spans="1:8" ht="15" customHeight="1">
      <c r="F1585" s="301" t="s">
        <v>92</v>
      </c>
      <c r="G1585" s="312">
        <f>G1570+G1572+G1574+G1576+G1578+G1580+G1582+G1583</f>
        <v>53.94</v>
      </c>
    </row>
    <row r="1586" spans="1:8" ht="15" customHeight="1">
      <c r="A1586" s="122" t="s">
        <v>94</v>
      </c>
      <c r="F1586" s="301" t="s">
        <v>93</v>
      </c>
      <c r="G1586" s="820">
        <f>SUM(G1584:G1585)</f>
        <v>119.68</v>
      </c>
    </row>
    <row r="1587" spans="1:8" ht="15" customHeight="1">
      <c r="A1587" s="300" t="s">
        <v>95</v>
      </c>
      <c r="B1587" s="385">
        <f>G1586</f>
        <v>119.68</v>
      </c>
    </row>
    <row r="1588" spans="1:8" ht="15" customHeight="1">
      <c r="A1588" s="382" t="s">
        <v>2272</v>
      </c>
      <c r="B1588" s="381"/>
    </row>
    <row r="1589" spans="1:8" ht="15" customHeight="1">
      <c r="A1589" s="443" t="s">
        <v>2311</v>
      </c>
      <c r="B1589" s="381">
        <f>(B1587+B1588)*0.245</f>
        <v>29.3216</v>
      </c>
    </row>
    <row r="1590" spans="1:8" ht="15" customHeight="1">
      <c r="A1590" s="300" t="s">
        <v>98</v>
      </c>
      <c r="B1590" s="386">
        <f>SUM(B1587:B1589)</f>
        <v>149.0016</v>
      </c>
      <c r="H1590" s="394"/>
    </row>
    <row r="1591" spans="1:8" ht="11.25" customHeight="1">
      <c r="A1591" s="362"/>
      <c r="B1591" s="363"/>
      <c r="C1591" s="364"/>
      <c r="D1591" s="362"/>
      <c r="E1591" s="363"/>
      <c r="F1591" s="363"/>
      <c r="G1591" s="363"/>
      <c r="H1591" s="362"/>
    </row>
    <row r="1592" spans="1:8" ht="11.25" customHeight="1"/>
    <row r="1593" spans="1:8" ht="11.25" customHeight="1">
      <c r="A1593" s="122" t="s">
        <v>1194</v>
      </c>
    </row>
    <row r="1594" spans="1:8" ht="11.25" customHeight="1">
      <c r="A1594" s="879" t="s">
        <v>2898</v>
      </c>
      <c r="B1594" s="128" t="s">
        <v>2897</v>
      </c>
    </row>
    <row r="1595" spans="1:8" ht="30" customHeight="1">
      <c r="A1595" s="352" t="s">
        <v>1450</v>
      </c>
      <c r="B1595" s="1161" t="s">
        <v>2896</v>
      </c>
      <c r="C1595" s="1161"/>
      <c r="D1595" s="1161"/>
      <c r="E1595" s="494" t="s">
        <v>2713</v>
      </c>
      <c r="F1595" s="122"/>
      <c r="G1595" s="353"/>
    </row>
    <row r="1596" spans="1:8" ht="21" customHeight="1">
      <c r="A1596" s="945" t="s">
        <v>30</v>
      </c>
      <c r="B1596" s="354" t="s">
        <v>19</v>
      </c>
      <c r="C1596" s="293" t="s">
        <v>81</v>
      </c>
      <c r="D1596" s="908" t="s">
        <v>77</v>
      </c>
      <c r="E1596" s="908" t="s">
        <v>82</v>
      </c>
      <c r="F1596" s="909" t="s">
        <v>83</v>
      </c>
      <c r="G1596" s="355" t="s">
        <v>84</v>
      </c>
    </row>
    <row r="1597" spans="1:8" ht="15" customHeight="1">
      <c r="A1597" s="1141">
        <v>88316</v>
      </c>
      <c r="B1597" s="1129" t="s">
        <v>110</v>
      </c>
      <c r="C1597" s="293" t="s">
        <v>104</v>
      </c>
      <c r="D1597" s="1131" t="s">
        <v>383</v>
      </c>
      <c r="E1597" s="1162">
        <v>2.8487</v>
      </c>
      <c r="F1597" s="825">
        <f>'COMP AUX'!G104</f>
        <v>11.18</v>
      </c>
      <c r="G1597" s="358">
        <f>TRUNC(E1597*F1597,2)</f>
        <v>31.84</v>
      </c>
    </row>
    <row r="1598" spans="1:8" ht="15" customHeight="1">
      <c r="A1598" s="1142"/>
      <c r="B1598" s="1130"/>
      <c r="C1598" s="293" t="s">
        <v>87</v>
      </c>
      <c r="D1598" s="1131"/>
      <c r="E1598" s="1163"/>
      <c r="F1598" s="825">
        <f>'COMP AUX'!G105</f>
        <v>4.7300000000000004</v>
      </c>
      <c r="G1598" s="296">
        <f>TRUNC(E1597*F1598,2)</f>
        <v>13.47</v>
      </c>
    </row>
    <row r="1599" spans="1:8" ht="15" customHeight="1">
      <c r="A1599" s="1159" t="s">
        <v>1520</v>
      </c>
      <c r="B1599" s="1129" t="s">
        <v>118</v>
      </c>
      <c r="C1599" s="293" t="s">
        <v>104</v>
      </c>
      <c r="D1599" s="1155" t="s">
        <v>383</v>
      </c>
      <c r="E1599" s="1162">
        <v>2.8487</v>
      </c>
      <c r="F1599" s="825">
        <f>'COMP AUX'!G151</f>
        <v>15.020000000000001</v>
      </c>
      <c r="G1599" s="312">
        <f t="shared" ref="G1599" si="68">TRUNC(E1599*F1599,2)</f>
        <v>42.78</v>
      </c>
    </row>
    <row r="1600" spans="1:8" ht="15" customHeight="1">
      <c r="A1600" s="1160"/>
      <c r="B1600" s="1130"/>
      <c r="C1600" s="293" t="s">
        <v>87</v>
      </c>
      <c r="D1600" s="1156"/>
      <c r="E1600" s="1163"/>
      <c r="F1600" s="825">
        <f>'COMP AUX'!G152</f>
        <v>4.79</v>
      </c>
      <c r="G1600" s="312">
        <f>TRUNC(E1599*F1600,2)</f>
        <v>13.64</v>
      </c>
    </row>
    <row r="1601" spans="1:7" ht="20.100000000000001" customHeight="1">
      <c r="A1601" s="1159">
        <v>87292</v>
      </c>
      <c r="B1601" s="1129" t="s">
        <v>2211</v>
      </c>
      <c r="C1601" s="293" t="s">
        <v>104</v>
      </c>
      <c r="D1601" s="1155" t="s">
        <v>1316</v>
      </c>
      <c r="E1601" s="1170">
        <v>5.9000000000000003E-4</v>
      </c>
      <c r="F1601" s="825">
        <f>'COMP AUX'!G1695</f>
        <v>168.32</v>
      </c>
      <c r="G1601" s="312">
        <f>TRUNC(E1601*F1601,2)</f>
        <v>0.09</v>
      </c>
    </row>
    <row r="1602" spans="1:7" ht="20.100000000000001" customHeight="1">
      <c r="A1602" s="1160"/>
      <c r="B1602" s="1130"/>
      <c r="C1602" s="293" t="s">
        <v>87</v>
      </c>
      <c r="D1602" s="1156"/>
      <c r="E1602" s="1171"/>
      <c r="F1602" s="825">
        <f>'COMP AUX'!G1696</f>
        <v>47.69</v>
      </c>
      <c r="G1602" s="312">
        <f>TRUNC(E1601*F1602,2)</f>
        <v>0.02</v>
      </c>
    </row>
    <row r="1603" spans="1:7" ht="16.5" customHeight="1">
      <c r="A1603" s="1159">
        <v>94097</v>
      </c>
      <c r="B1603" s="1129" t="s">
        <v>2766</v>
      </c>
      <c r="C1603" s="293" t="s">
        <v>104</v>
      </c>
      <c r="D1603" s="1167" t="s">
        <v>1553</v>
      </c>
      <c r="E1603" s="1169">
        <v>0.36</v>
      </c>
      <c r="F1603" s="825">
        <f>'COMP AUX'!G1781</f>
        <v>0.62</v>
      </c>
      <c r="G1603" s="312">
        <f>TRUNC(E1603*F1603,2)</f>
        <v>0.22</v>
      </c>
    </row>
    <row r="1604" spans="1:7" ht="15" customHeight="1">
      <c r="A1604" s="1164"/>
      <c r="B1604" s="1130"/>
      <c r="C1604" s="293" t="s">
        <v>87</v>
      </c>
      <c r="D1604" s="1167"/>
      <c r="E1604" s="1169"/>
      <c r="F1604" s="825">
        <f>'COMP AUX'!G1782</f>
        <v>3.4299999999999997</v>
      </c>
      <c r="G1604" s="312">
        <f>TRUNC(E1603*F1604,2)</f>
        <v>1.23</v>
      </c>
    </row>
    <row r="1605" spans="1:7" ht="20.100000000000001" customHeight="1">
      <c r="A1605" s="1168">
        <v>94970</v>
      </c>
      <c r="B1605" s="861" t="s">
        <v>2767</v>
      </c>
      <c r="C1605" s="293" t="s">
        <v>104</v>
      </c>
      <c r="D1605" s="1167" t="s">
        <v>438</v>
      </c>
      <c r="E1605" s="1169">
        <v>4.1200000000000001E-2</v>
      </c>
      <c r="F1605" s="863">
        <f>'COMP AUX'!G935</f>
        <v>2.2000000000000002</v>
      </c>
      <c r="G1605" s="312">
        <f>TRUNC(E1605*F1605,2)</f>
        <v>0.09</v>
      </c>
    </row>
    <row r="1606" spans="1:7" ht="20.100000000000001" customHeight="1">
      <c r="A1606" s="1160"/>
      <c r="B1606" s="861"/>
      <c r="C1606" s="293" t="s">
        <v>87</v>
      </c>
      <c r="D1606" s="1167"/>
      <c r="E1606" s="1169"/>
      <c r="F1606" s="863">
        <f>'COMP AUX'!G936</f>
        <v>0.71</v>
      </c>
      <c r="G1606" s="312">
        <f>TRUNC(E1605*F1606,2)</f>
        <v>0.02</v>
      </c>
    </row>
    <row r="1607" spans="1:7" ht="20.100000000000001" customHeight="1">
      <c r="A1607" s="1159">
        <v>96920</v>
      </c>
      <c r="B1607" s="1129" t="s">
        <v>2768</v>
      </c>
      <c r="C1607" s="293" t="s">
        <v>104</v>
      </c>
      <c r="D1607" s="1155" t="s">
        <v>1316</v>
      </c>
      <c r="E1607" s="1165">
        <v>5.0599999999999999E-2</v>
      </c>
      <c r="F1607" s="825">
        <f>'COMP AUX'!G1766</f>
        <v>1.1299999999999999</v>
      </c>
      <c r="G1607" s="312">
        <f>TRUNC(E1609*F1607,2)</f>
        <v>0.02</v>
      </c>
    </row>
    <row r="1608" spans="1:7" ht="20.100000000000001" customHeight="1">
      <c r="A1608" s="1160"/>
      <c r="B1608" s="1130"/>
      <c r="C1608" s="293" t="s">
        <v>87</v>
      </c>
      <c r="D1608" s="1156"/>
      <c r="E1608" s="1166"/>
      <c r="F1608" s="825">
        <f>'COMP AUX'!G1767</f>
        <v>0.34</v>
      </c>
      <c r="G1608" s="312">
        <f>TRUNC(E1609*F1608,2)</f>
        <v>0</v>
      </c>
    </row>
    <row r="1609" spans="1:7" ht="20.100000000000001" customHeight="1">
      <c r="A1609" s="1159">
        <v>97734</v>
      </c>
      <c r="B1609" s="1129" t="s">
        <v>2771</v>
      </c>
      <c r="C1609" s="293" t="s">
        <v>104</v>
      </c>
      <c r="D1609" s="1155" t="s">
        <v>1316</v>
      </c>
      <c r="E1609" s="1165">
        <v>2.4799999999999999E-2</v>
      </c>
      <c r="F1609" s="825">
        <v>1254.5999999999999</v>
      </c>
      <c r="G1609" s="312">
        <f>TRUNC(E1609*F1609,2)</f>
        <v>31.11</v>
      </c>
    </row>
    <row r="1610" spans="1:7" ht="20.100000000000001" customHeight="1">
      <c r="A1610" s="1160"/>
      <c r="B1610" s="1130"/>
      <c r="C1610" s="293" t="s">
        <v>87</v>
      </c>
      <c r="D1610" s="1156"/>
      <c r="E1610" s="1166"/>
      <c r="F1610" s="825">
        <v>779.36</v>
      </c>
      <c r="G1610" s="312">
        <f>TRUNC(E1609*F1610,2)</f>
        <v>19.32</v>
      </c>
    </row>
    <row r="1611" spans="1:7" ht="20.100000000000001" customHeight="1">
      <c r="A1611" s="348" t="s">
        <v>2772</v>
      </c>
      <c r="B1611" s="464" t="s">
        <v>2302</v>
      </c>
      <c r="C1611" s="293" t="s">
        <v>87</v>
      </c>
      <c r="D1611" s="324" t="s">
        <v>381</v>
      </c>
      <c r="E1611" s="864">
        <v>134.4</v>
      </c>
      <c r="F1611" s="863">
        <v>0.33</v>
      </c>
      <c r="G1611" s="312">
        <f>TRUNC(E1611*F1611,2)</f>
        <v>44.35</v>
      </c>
    </row>
    <row r="1612" spans="1:7" ht="15" customHeight="1">
      <c r="A1612" s="865"/>
      <c r="F1612" s="360" t="s">
        <v>90</v>
      </c>
      <c r="G1612" s="322">
        <f>G1597+G1599+G1601+G1603+G1605+G1607+G1609</f>
        <v>106.15</v>
      </c>
    </row>
    <row r="1613" spans="1:7" ht="15" customHeight="1">
      <c r="F1613" s="301" t="s">
        <v>92</v>
      </c>
      <c r="G1613" s="312">
        <f>G1598+G1600+G1602+G1604+G1606+G1608+G1610+G1611</f>
        <v>92.050000000000011</v>
      </c>
    </row>
    <row r="1614" spans="1:7" ht="15" customHeight="1">
      <c r="A1614" s="122" t="s">
        <v>94</v>
      </c>
      <c r="F1614" s="301" t="s">
        <v>93</v>
      </c>
      <c r="G1614" s="820">
        <f>SUM(G1612:G1613)</f>
        <v>198.20000000000002</v>
      </c>
    </row>
    <row r="1615" spans="1:7" ht="15" customHeight="1">
      <c r="A1615" s="300" t="s">
        <v>95</v>
      </c>
      <c r="B1615" s="385">
        <f>G1614</f>
        <v>198.20000000000002</v>
      </c>
    </row>
    <row r="1616" spans="1:7" ht="15" customHeight="1">
      <c r="A1616" s="382" t="s">
        <v>2272</v>
      </c>
      <c r="B1616" s="381"/>
    </row>
    <row r="1617" spans="1:8" ht="15" customHeight="1">
      <c r="A1617" s="443" t="s">
        <v>2311</v>
      </c>
      <c r="B1617" s="381">
        <f>(B1615+B1616)*0.245</f>
        <v>48.559000000000005</v>
      </c>
    </row>
    <row r="1618" spans="1:8" ht="15" customHeight="1">
      <c r="A1618" s="300" t="s">
        <v>98</v>
      </c>
      <c r="B1618" s="386">
        <f>SUM(B1615:B1617)</f>
        <v>246.75900000000001</v>
      </c>
      <c r="H1618" s="394"/>
    </row>
    <row r="1619" spans="1:8" ht="11.25" customHeight="1">
      <c r="A1619" s="362"/>
      <c r="B1619" s="363"/>
      <c r="C1619" s="364"/>
      <c r="D1619" s="362"/>
      <c r="E1619" s="363"/>
      <c r="F1619" s="363"/>
      <c r="G1619" s="363"/>
      <c r="H1619" s="362"/>
    </row>
    <row r="1620" spans="1:8" ht="11.25" customHeight="1"/>
    <row r="1621" spans="1:8" ht="11.25" customHeight="1">
      <c r="A1621" s="122" t="s">
        <v>2779</v>
      </c>
    </row>
    <row r="1622" spans="1:8" ht="11.25" customHeight="1">
      <c r="A1622" s="836" t="s">
        <v>2901</v>
      </c>
      <c r="B1622" s="128">
        <v>97904</v>
      </c>
    </row>
    <row r="1623" spans="1:8" ht="25.5" customHeight="1">
      <c r="A1623" s="352" t="s">
        <v>1450</v>
      </c>
      <c r="B1623" s="1161" t="s">
        <v>2774</v>
      </c>
      <c r="C1623" s="1161"/>
      <c r="D1623" s="1161"/>
      <c r="E1623" s="494" t="s">
        <v>2713</v>
      </c>
      <c r="F1623" s="122"/>
      <c r="G1623" s="353"/>
    </row>
    <row r="1624" spans="1:8" ht="21" customHeight="1">
      <c r="A1624" s="790" t="s">
        <v>30</v>
      </c>
      <c r="B1624" s="354" t="s">
        <v>19</v>
      </c>
      <c r="C1624" s="293" t="s">
        <v>81</v>
      </c>
      <c r="D1624" s="780" t="s">
        <v>77</v>
      </c>
      <c r="E1624" s="780" t="s">
        <v>82</v>
      </c>
      <c r="F1624" s="295" t="s">
        <v>83</v>
      </c>
      <c r="G1624" s="355" t="s">
        <v>84</v>
      </c>
    </row>
    <row r="1625" spans="1:8" ht="15" customHeight="1">
      <c r="A1625" s="1141">
        <v>88316</v>
      </c>
      <c r="B1625" s="1151" t="s">
        <v>110</v>
      </c>
      <c r="C1625" s="293" t="s">
        <v>104</v>
      </c>
      <c r="D1625" s="1131" t="s">
        <v>383</v>
      </c>
      <c r="E1625" s="1149">
        <v>15.1167</v>
      </c>
      <c r="F1625" s="831">
        <f>'COMP AUX'!G104</f>
        <v>11.18</v>
      </c>
      <c r="G1625" s="358">
        <f>TRUNC(E1625*F1625,2)</f>
        <v>169</v>
      </c>
    </row>
    <row r="1626" spans="1:8" ht="15" customHeight="1">
      <c r="A1626" s="1142"/>
      <c r="B1626" s="1152"/>
      <c r="C1626" s="293" t="s">
        <v>87</v>
      </c>
      <c r="D1626" s="1131"/>
      <c r="E1626" s="1150"/>
      <c r="F1626" s="831">
        <f>'COMP AUX'!G105</f>
        <v>4.7300000000000004</v>
      </c>
      <c r="G1626" s="296">
        <f>TRUNC(E1625*F1626,2)</f>
        <v>71.5</v>
      </c>
    </row>
    <row r="1627" spans="1:8" ht="15" customHeight="1">
      <c r="A1627" s="1159" t="s">
        <v>1520</v>
      </c>
      <c r="B1627" s="1151" t="s">
        <v>118</v>
      </c>
      <c r="C1627" s="293" t="s">
        <v>104</v>
      </c>
      <c r="D1627" s="1155" t="s">
        <v>383</v>
      </c>
      <c r="E1627" s="1149">
        <v>15.1167</v>
      </c>
      <c r="F1627" s="831">
        <f>'COMP AUX'!G151</f>
        <v>15.020000000000001</v>
      </c>
      <c r="G1627" s="312">
        <f>TRUNC(E1627*F1627,2)</f>
        <v>227.05</v>
      </c>
    </row>
    <row r="1628" spans="1:8" ht="15" customHeight="1">
      <c r="A1628" s="1160"/>
      <c r="B1628" s="1152"/>
      <c r="C1628" s="293" t="s">
        <v>87</v>
      </c>
      <c r="D1628" s="1156"/>
      <c r="E1628" s="1150"/>
      <c r="F1628" s="831">
        <f>'COMP AUX'!G152</f>
        <v>4.79</v>
      </c>
      <c r="G1628" s="312">
        <f>TRUNC(E1627*F1628,2)</f>
        <v>72.400000000000006</v>
      </c>
    </row>
    <row r="1629" spans="1:8" ht="15" customHeight="1">
      <c r="A1629" s="1159">
        <v>5678</v>
      </c>
      <c r="B1629" s="1151" t="s">
        <v>2775</v>
      </c>
      <c r="C1629" s="293" t="s">
        <v>104</v>
      </c>
      <c r="D1629" s="1155" t="s">
        <v>383</v>
      </c>
      <c r="E1629" s="1179">
        <v>2.955E-2</v>
      </c>
      <c r="F1629" s="831">
        <v>18.43</v>
      </c>
      <c r="G1629" s="312">
        <f>TRUNC(E1629*F1629,2)</f>
        <v>0.54</v>
      </c>
    </row>
    <row r="1630" spans="1:8" ht="30" customHeight="1">
      <c r="A1630" s="1160"/>
      <c r="B1630" s="1152"/>
      <c r="C1630" s="293" t="s">
        <v>87</v>
      </c>
      <c r="D1630" s="1156"/>
      <c r="E1630" s="1180"/>
      <c r="F1630" s="831">
        <v>63</v>
      </c>
      <c r="G1630" s="312">
        <f>TRUNC(E1629*F1630,2)</f>
        <v>1.86</v>
      </c>
    </row>
    <row r="1631" spans="1:8" ht="15" customHeight="1">
      <c r="A1631" s="1159">
        <v>5679</v>
      </c>
      <c r="B1631" s="1151" t="s">
        <v>2776</v>
      </c>
      <c r="C1631" s="293" t="s">
        <v>104</v>
      </c>
      <c r="D1631" s="1155" t="s">
        <v>383</v>
      </c>
      <c r="E1631" s="1179">
        <v>9.9599999999999994E-2</v>
      </c>
      <c r="F1631" s="831">
        <v>18.45</v>
      </c>
      <c r="G1631" s="312">
        <f>TRUNC(E1631*F1631,2)</f>
        <v>1.83</v>
      </c>
    </row>
    <row r="1632" spans="1:8" ht="30" customHeight="1">
      <c r="A1632" s="1160"/>
      <c r="B1632" s="1152"/>
      <c r="C1632" s="293" t="s">
        <v>87</v>
      </c>
      <c r="D1632" s="1156"/>
      <c r="E1632" s="1180"/>
      <c r="F1632" s="831">
        <v>16.149999999999999</v>
      </c>
      <c r="G1632" s="312">
        <f>TRUNC(E1631*F1632,2)</f>
        <v>1.6</v>
      </c>
    </row>
    <row r="1633" spans="1:9" ht="20.100000000000001" customHeight="1">
      <c r="A1633" s="1159">
        <v>87316</v>
      </c>
      <c r="B1633" s="1151" t="s">
        <v>2730</v>
      </c>
      <c r="C1633" s="293" t="s">
        <v>104</v>
      </c>
      <c r="D1633" s="1155" t="s">
        <v>1316</v>
      </c>
      <c r="E1633" s="1172">
        <v>3.15E-3</v>
      </c>
      <c r="F1633" s="831">
        <f>'COMP AUX'!G1696</f>
        <v>47.69</v>
      </c>
      <c r="G1633" s="312">
        <f>TRUNC(E1633*F1633,2)</f>
        <v>0.15</v>
      </c>
    </row>
    <row r="1634" spans="1:9" ht="20.100000000000001" customHeight="1">
      <c r="A1634" s="1160"/>
      <c r="B1634" s="1152"/>
      <c r="C1634" s="293" t="s">
        <v>87</v>
      </c>
      <c r="D1634" s="1156"/>
      <c r="E1634" s="1172"/>
      <c r="F1634" s="831">
        <f>'COMP AUX'!G1697</f>
        <v>257.14</v>
      </c>
      <c r="G1634" s="312">
        <f>TRUNC(E1633*F1634,2)</f>
        <v>0.8</v>
      </c>
    </row>
    <row r="1635" spans="1:9" ht="16.5" customHeight="1">
      <c r="A1635" s="1159" t="s">
        <v>2777</v>
      </c>
      <c r="B1635" s="1151" t="s">
        <v>2766</v>
      </c>
      <c r="C1635" s="293" t="s">
        <v>104</v>
      </c>
      <c r="D1635" s="1167" t="s">
        <v>1553</v>
      </c>
      <c r="E1635" s="1172">
        <v>3.24</v>
      </c>
      <c r="F1635" s="831">
        <v>2.27</v>
      </c>
      <c r="G1635" s="312">
        <f>TRUNC(E1635*F1635,2)</f>
        <v>7.35</v>
      </c>
    </row>
    <row r="1636" spans="1:9" ht="15" customHeight="1">
      <c r="A1636" s="1164"/>
      <c r="B1636" s="1152"/>
      <c r="C1636" s="293" t="s">
        <v>87</v>
      </c>
      <c r="D1636" s="1167"/>
      <c r="E1636" s="1172"/>
      <c r="F1636" s="831">
        <v>0.04</v>
      </c>
      <c r="G1636" s="312">
        <f>TRUNC(E1635*F1636,2)</f>
        <v>0.12</v>
      </c>
    </row>
    <row r="1637" spans="1:9" ht="20.100000000000001" customHeight="1">
      <c r="A1637" s="1168">
        <v>94970</v>
      </c>
      <c r="B1637" s="1151" t="s">
        <v>2767</v>
      </c>
      <c r="C1637" s="293" t="s">
        <v>104</v>
      </c>
      <c r="D1637" s="1167" t="s">
        <v>438</v>
      </c>
      <c r="E1637" s="1172">
        <v>0.25119999999999998</v>
      </c>
      <c r="F1637" s="866">
        <f>'COMP AUX'!G907</f>
        <v>35.8538</v>
      </c>
      <c r="G1637" s="312">
        <f>TRUNC(E1637*F1637,2)</f>
        <v>9</v>
      </c>
    </row>
    <row r="1638" spans="1:9" ht="20.100000000000001" customHeight="1">
      <c r="A1638" s="1160"/>
      <c r="B1638" s="1152"/>
      <c r="C1638" s="293" t="s">
        <v>87</v>
      </c>
      <c r="D1638" s="1167"/>
      <c r="E1638" s="1172"/>
      <c r="F1638" s="866">
        <f>'COMP AUX'!G908</f>
        <v>272.17680000000001</v>
      </c>
      <c r="G1638" s="312">
        <f>TRUNC(E1637*F1638,2)</f>
        <v>68.37</v>
      </c>
      <c r="I1638" s="122" t="s">
        <v>2773</v>
      </c>
    </row>
    <row r="1639" spans="1:9" ht="20.100000000000001" customHeight="1">
      <c r="A1639" s="1159">
        <v>96920</v>
      </c>
      <c r="B1639" s="1151" t="s">
        <v>2768</v>
      </c>
      <c r="C1639" s="293" t="s">
        <v>104</v>
      </c>
      <c r="D1639" s="1155" t="s">
        <v>1316</v>
      </c>
      <c r="E1639" s="1157">
        <v>0.3075</v>
      </c>
      <c r="F1639" s="831">
        <v>53.55</v>
      </c>
      <c r="G1639" s="312">
        <f>TRUNC(E1639*F1639,2)</f>
        <v>16.46</v>
      </c>
    </row>
    <row r="1640" spans="1:9" ht="20.100000000000001" customHeight="1">
      <c r="A1640" s="1160"/>
      <c r="B1640" s="1152"/>
      <c r="C1640" s="293" t="s">
        <v>87</v>
      </c>
      <c r="D1640" s="1156"/>
      <c r="E1640" s="1158"/>
      <c r="F1640" s="831">
        <v>405.61</v>
      </c>
      <c r="G1640" s="312">
        <f>TRUNC(E1639*F1640,2)</f>
        <v>124.72</v>
      </c>
    </row>
    <row r="1641" spans="1:9" ht="20.100000000000001" customHeight="1">
      <c r="A1641" s="1221">
        <v>97736</v>
      </c>
      <c r="B1641" s="1151" t="s">
        <v>2778</v>
      </c>
      <c r="C1641" s="293" t="s">
        <v>104</v>
      </c>
      <c r="D1641" s="1155" t="s">
        <v>1316</v>
      </c>
      <c r="E1641" s="1157">
        <v>0.1512</v>
      </c>
      <c r="F1641" s="831">
        <v>263.75</v>
      </c>
      <c r="G1641" s="312">
        <f>TRUNC(E1641*F1641,2)</f>
        <v>39.869999999999997</v>
      </c>
    </row>
    <row r="1642" spans="1:9" ht="20.100000000000001" customHeight="1">
      <c r="A1642" s="1222"/>
      <c r="B1642" s="1152"/>
      <c r="C1642" s="293" t="s">
        <v>87</v>
      </c>
      <c r="D1642" s="1156"/>
      <c r="E1642" s="1158"/>
      <c r="F1642" s="831">
        <v>792.4</v>
      </c>
      <c r="G1642" s="312">
        <f>TRUNC(E1641*F1642,2)</f>
        <v>119.81</v>
      </c>
    </row>
    <row r="1643" spans="1:9" ht="20.100000000000001" customHeight="1">
      <c r="A1643" s="348" t="s">
        <v>2772</v>
      </c>
      <c r="B1643" s="464" t="s">
        <v>2302</v>
      </c>
      <c r="C1643" s="293" t="s">
        <v>87</v>
      </c>
      <c r="D1643" s="324" t="s">
        <v>381</v>
      </c>
      <c r="E1643" s="969">
        <v>295.2</v>
      </c>
      <c r="F1643" s="866">
        <v>0.37</v>
      </c>
      <c r="G1643" s="312">
        <f>TRUNC(E1643*F1643,2)</f>
        <v>109.22</v>
      </c>
    </row>
    <row r="1644" spans="1:9" ht="15" customHeight="1">
      <c r="A1644" s="865"/>
      <c r="F1644" s="360" t="s">
        <v>90</v>
      </c>
      <c r="G1644" s="322">
        <f>G1625+G1627+G1633+G1635+G1637+G1639+G1641</f>
        <v>468.88</v>
      </c>
    </row>
    <row r="1645" spans="1:9" ht="15" customHeight="1">
      <c r="F1645" s="301" t="s">
        <v>92</v>
      </c>
      <c r="G1645" s="312">
        <f>G1626+G1628+G1634+G1636+G1638+G1640+G1642+G1643</f>
        <v>566.94000000000005</v>
      </c>
    </row>
    <row r="1646" spans="1:9" ht="15" customHeight="1">
      <c r="A1646" s="122" t="s">
        <v>94</v>
      </c>
      <c r="F1646" s="301" t="s">
        <v>93</v>
      </c>
      <c r="G1646" s="820">
        <f>SUM(G1644:G1645)</f>
        <v>1035.8200000000002</v>
      </c>
    </row>
    <row r="1647" spans="1:9" ht="15" customHeight="1">
      <c r="A1647" s="300" t="s">
        <v>95</v>
      </c>
      <c r="B1647" s="385">
        <f>G1646</f>
        <v>1035.8200000000002</v>
      </c>
    </row>
    <row r="1648" spans="1:9" ht="15" customHeight="1">
      <c r="A1648" s="382" t="s">
        <v>2272</v>
      </c>
      <c r="B1648" s="381"/>
    </row>
    <row r="1649" spans="1:8" ht="15" customHeight="1">
      <c r="A1649" s="443" t="s">
        <v>2311</v>
      </c>
      <c r="B1649" s="381">
        <f>(B1647+B1648)*0.245</f>
        <v>253.77590000000004</v>
      </c>
    </row>
    <row r="1650" spans="1:8" ht="15" customHeight="1">
      <c r="A1650" s="300" t="s">
        <v>98</v>
      </c>
      <c r="B1650" s="386">
        <f>SUM(B1647:B1649)</f>
        <v>1289.5959000000003</v>
      </c>
      <c r="H1650" s="394"/>
    </row>
    <row r="1651" spans="1:8" ht="11.25" customHeight="1">
      <c r="A1651" s="362"/>
      <c r="B1651" s="363"/>
      <c r="C1651" s="364"/>
      <c r="D1651" s="362"/>
      <c r="E1651" s="363"/>
      <c r="F1651" s="363"/>
      <c r="G1651" s="363"/>
      <c r="H1651" s="362"/>
    </row>
    <row r="1652" spans="1:8" ht="11.25" customHeight="1"/>
    <row r="1653" spans="1:8" ht="11.25" customHeight="1">
      <c r="A1653" s="122" t="s">
        <v>2709</v>
      </c>
    </row>
    <row r="1654" spans="1:8" ht="11.25" customHeight="1">
      <c r="A1654" s="879" t="s">
        <v>2902</v>
      </c>
      <c r="B1654" s="128" t="s">
        <v>2782</v>
      </c>
    </row>
    <row r="1655" spans="1:8" ht="21" customHeight="1">
      <c r="A1655" s="352" t="s">
        <v>1450</v>
      </c>
      <c r="B1655" s="1161" t="s">
        <v>2780</v>
      </c>
      <c r="C1655" s="1161"/>
      <c r="D1655" s="1161"/>
      <c r="E1655" s="494" t="s">
        <v>2713</v>
      </c>
      <c r="F1655" s="122"/>
      <c r="G1655" s="353"/>
    </row>
    <row r="1656" spans="1:8" ht="21" customHeight="1">
      <c r="A1656" s="804" t="s">
        <v>30</v>
      </c>
      <c r="B1656" s="354" t="s">
        <v>19</v>
      </c>
      <c r="C1656" s="293" t="s">
        <v>81</v>
      </c>
      <c r="D1656" s="803" t="s">
        <v>77</v>
      </c>
      <c r="E1656" s="803" t="s">
        <v>82</v>
      </c>
      <c r="F1656" s="862" t="s">
        <v>83</v>
      </c>
      <c r="G1656" s="355" t="s">
        <v>84</v>
      </c>
    </row>
    <row r="1657" spans="1:8" ht="15" customHeight="1">
      <c r="A1657" s="1141">
        <v>88316</v>
      </c>
      <c r="B1657" s="1129" t="s">
        <v>110</v>
      </c>
      <c r="C1657" s="293" t="s">
        <v>104</v>
      </c>
      <c r="D1657" s="1131" t="s">
        <v>383</v>
      </c>
      <c r="E1657" s="1157">
        <v>1.7204999999999999</v>
      </c>
      <c r="F1657" s="831">
        <f>'COMP AUX'!G165</f>
        <v>0.5</v>
      </c>
      <c r="G1657" s="358">
        <f>TRUNC(E1657*F1657,2)</f>
        <v>0.86</v>
      </c>
    </row>
    <row r="1658" spans="1:8" ht="15" customHeight="1">
      <c r="A1658" s="1142"/>
      <c r="B1658" s="1130"/>
      <c r="C1658" s="293" t="s">
        <v>87</v>
      </c>
      <c r="D1658" s="1131"/>
      <c r="E1658" s="1158"/>
      <c r="F1658" s="831">
        <f>'COMP AUX'!G166</f>
        <v>0.96</v>
      </c>
      <c r="G1658" s="296">
        <f>TRUNC(E1657*F1658,2)</f>
        <v>1.65</v>
      </c>
    </row>
    <row r="1659" spans="1:8" ht="15" customHeight="1">
      <c r="A1659" s="1159" t="s">
        <v>1520</v>
      </c>
      <c r="B1659" s="1129" t="s">
        <v>118</v>
      </c>
      <c r="C1659" s="293" t="s">
        <v>104</v>
      </c>
      <c r="D1659" s="1155" t="s">
        <v>383</v>
      </c>
      <c r="E1659" s="1157">
        <v>1.7204999999999999</v>
      </c>
      <c r="F1659" s="831">
        <f>'COMP AUX'!G212</f>
        <v>2.2000000000000002</v>
      </c>
      <c r="G1659" s="312">
        <f>TRUNC(E1659*F1659,2)</f>
        <v>3.78</v>
      </c>
    </row>
    <row r="1660" spans="1:8" ht="15" customHeight="1">
      <c r="A1660" s="1160"/>
      <c r="B1660" s="1130"/>
      <c r="C1660" s="293" t="s">
        <v>87</v>
      </c>
      <c r="D1660" s="1156"/>
      <c r="E1660" s="1158"/>
      <c r="F1660" s="831">
        <f>'COMP AUX'!G213</f>
        <v>0.71</v>
      </c>
      <c r="G1660" s="312">
        <f>TRUNC(E1659*F1660,2)</f>
        <v>1.22</v>
      </c>
    </row>
    <row r="1661" spans="1:8" ht="20.100000000000001" customHeight="1">
      <c r="A1661" s="1159">
        <v>87316</v>
      </c>
      <c r="B1661" s="1151" t="s">
        <v>2729</v>
      </c>
      <c r="C1661" s="293" t="s">
        <v>104</v>
      </c>
      <c r="D1661" s="1155" t="s">
        <v>1316</v>
      </c>
      <c r="E1661" s="1157">
        <v>5.2099999999999998E-4</v>
      </c>
      <c r="F1661" s="831">
        <f>'COMP AUX'!G1696</f>
        <v>47.69</v>
      </c>
      <c r="G1661" s="312">
        <f>TRUNC(E1661*F1661,2)</f>
        <v>0.02</v>
      </c>
    </row>
    <row r="1662" spans="1:8" ht="20.100000000000001" customHeight="1">
      <c r="A1662" s="1160"/>
      <c r="B1662" s="1152"/>
      <c r="C1662" s="293" t="s">
        <v>87</v>
      </c>
      <c r="D1662" s="1156"/>
      <c r="E1662" s="1158"/>
      <c r="F1662" s="831">
        <f>'COMP AUX'!G1697</f>
        <v>257.14</v>
      </c>
      <c r="G1662" s="312">
        <f>TRUNC(E1661*F1662,2)</f>
        <v>0.13</v>
      </c>
    </row>
    <row r="1663" spans="1:8" ht="16.5" customHeight="1">
      <c r="A1663" s="1159">
        <v>94097</v>
      </c>
      <c r="B1663" s="1129" t="s">
        <v>2766</v>
      </c>
      <c r="C1663" s="293" t="s">
        <v>104</v>
      </c>
      <c r="D1663" s="1167" t="s">
        <v>1553</v>
      </c>
      <c r="E1663" s="1172">
        <v>0.49</v>
      </c>
      <c r="F1663" s="831">
        <f>'COMP AUX'!G1738</f>
        <v>1.56</v>
      </c>
      <c r="G1663" s="312">
        <f>TRUNC(E1663*F1663,2)</f>
        <v>0.76</v>
      </c>
    </row>
    <row r="1664" spans="1:8" ht="15" customHeight="1">
      <c r="A1664" s="1164"/>
      <c r="B1664" s="1130"/>
      <c r="C1664" s="293" t="s">
        <v>87</v>
      </c>
      <c r="D1664" s="1167"/>
      <c r="E1664" s="1172"/>
      <c r="F1664" s="831">
        <f>'COMP AUX'!G1739</f>
        <v>3.06</v>
      </c>
      <c r="G1664" s="312">
        <f>TRUNC(E1663*F1664,2)</f>
        <v>1.49</v>
      </c>
    </row>
    <row r="1665" spans="1:9" ht="20.100000000000001" customHeight="1">
      <c r="A1665" s="1168">
        <v>94970</v>
      </c>
      <c r="B1665" s="861" t="s">
        <v>2767</v>
      </c>
      <c r="C1665" s="293" t="s">
        <v>104</v>
      </c>
      <c r="D1665" s="1167" t="s">
        <v>438</v>
      </c>
      <c r="E1665" s="1172">
        <v>3.7900000000000003E-2</v>
      </c>
      <c r="F1665" s="866">
        <f>'COMP AUX'!G907</f>
        <v>35.8538</v>
      </c>
      <c r="G1665" s="312">
        <f>TRUNC(E1665*F1665,2)</f>
        <v>1.35</v>
      </c>
    </row>
    <row r="1666" spans="1:9" ht="20.100000000000001" customHeight="1">
      <c r="A1666" s="1160"/>
      <c r="B1666" s="861"/>
      <c r="C1666" s="293" t="s">
        <v>87</v>
      </c>
      <c r="D1666" s="1167"/>
      <c r="E1666" s="1172"/>
      <c r="F1666" s="866">
        <f>'COMP AUX'!G908</f>
        <v>272.17680000000001</v>
      </c>
      <c r="G1666" s="312">
        <f>TRUNC(E1665*F1666,2)</f>
        <v>10.31</v>
      </c>
      <c r="I1666" s="122" t="s">
        <v>2773</v>
      </c>
    </row>
    <row r="1667" spans="1:9" ht="20.100000000000001" customHeight="1">
      <c r="A1667" s="1159">
        <v>100475</v>
      </c>
      <c r="B1667" s="1129" t="s">
        <v>2781</v>
      </c>
      <c r="C1667" s="293" t="s">
        <v>104</v>
      </c>
      <c r="D1667" s="1155" t="s">
        <v>1316</v>
      </c>
      <c r="E1667" s="1157">
        <v>3.9100000000000003E-2</v>
      </c>
      <c r="F1667" s="831">
        <v>53.55</v>
      </c>
      <c r="G1667" s="312">
        <f>TRUNC(E1667*F1667,2)</f>
        <v>2.09</v>
      </c>
    </row>
    <row r="1668" spans="1:9" ht="20.100000000000001" customHeight="1">
      <c r="A1668" s="1160"/>
      <c r="B1668" s="1130"/>
      <c r="C1668" s="293" t="s">
        <v>87</v>
      </c>
      <c r="D1668" s="1156"/>
      <c r="E1668" s="1158"/>
      <c r="F1668" s="831">
        <v>405.61</v>
      </c>
      <c r="G1668" s="312">
        <f>TRUNC(E1667*F1668,2)</f>
        <v>15.85</v>
      </c>
    </row>
    <row r="1669" spans="1:9" ht="20.100000000000001" customHeight="1">
      <c r="A1669" s="1159">
        <v>97734</v>
      </c>
      <c r="B1669" s="1129" t="s">
        <v>2771</v>
      </c>
      <c r="C1669" s="293" t="s">
        <v>104</v>
      </c>
      <c r="D1669" s="1155" t="s">
        <v>1316</v>
      </c>
      <c r="E1669" s="1157">
        <v>2.2800000000000001E-2</v>
      </c>
      <c r="F1669" s="831">
        <v>1272.01</v>
      </c>
      <c r="G1669" s="312">
        <f>TRUNC(E1669*F1669,2)</f>
        <v>29</v>
      </c>
    </row>
    <row r="1670" spans="1:9" ht="20.100000000000001" customHeight="1">
      <c r="A1670" s="1160"/>
      <c r="B1670" s="1130"/>
      <c r="C1670" s="293" t="s">
        <v>87</v>
      </c>
      <c r="D1670" s="1156"/>
      <c r="E1670" s="1158"/>
      <c r="F1670" s="831">
        <v>834.22</v>
      </c>
      <c r="G1670" s="312">
        <f>TRUNC(E1669*F1670,2)</f>
        <v>19.02</v>
      </c>
    </row>
    <row r="1671" spans="1:9" ht="20.100000000000001" customHeight="1">
      <c r="A1671" s="348" t="s">
        <v>2772</v>
      </c>
      <c r="B1671" s="464" t="s">
        <v>2302</v>
      </c>
      <c r="C1671" s="293" t="s">
        <v>87</v>
      </c>
      <c r="D1671" s="909" t="s">
        <v>381</v>
      </c>
      <c r="E1671" s="966">
        <v>42.24</v>
      </c>
      <c r="F1671" s="831">
        <v>0.37</v>
      </c>
      <c r="G1671" s="312">
        <f>TRUNC(E1671*F1671,2)</f>
        <v>15.62</v>
      </c>
    </row>
    <row r="1672" spans="1:9" ht="15" customHeight="1">
      <c r="A1672" s="865"/>
      <c r="F1672" s="360" t="s">
        <v>90</v>
      </c>
      <c r="G1672" s="322">
        <f>G1657+G1659+G1661+G1663+G1665+G1667+G1669</f>
        <v>37.86</v>
      </c>
    </row>
    <row r="1673" spans="1:9" ht="15" customHeight="1">
      <c r="F1673" s="301" t="s">
        <v>92</v>
      </c>
      <c r="G1673" s="312">
        <f>G1658+G1660+G1662+G1664+G1666+G1668+G1670+G1671</f>
        <v>65.290000000000006</v>
      </c>
    </row>
    <row r="1674" spans="1:9" ht="15" customHeight="1">
      <c r="A1674" s="122" t="s">
        <v>94</v>
      </c>
      <c r="F1674" s="301" t="s">
        <v>93</v>
      </c>
      <c r="G1674" s="820">
        <f>SUM(G1672:G1673)</f>
        <v>103.15</v>
      </c>
    </row>
    <row r="1675" spans="1:9" ht="15" customHeight="1">
      <c r="A1675" s="300" t="s">
        <v>95</v>
      </c>
      <c r="B1675" s="385">
        <f>G1674</f>
        <v>103.15</v>
      </c>
    </row>
    <row r="1676" spans="1:9" ht="15" customHeight="1">
      <c r="A1676" s="382" t="s">
        <v>2272</v>
      </c>
      <c r="B1676" s="381"/>
    </row>
    <row r="1677" spans="1:9" ht="15" customHeight="1">
      <c r="A1677" s="443" t="s">
        <v>2311</v>
      </c>
      <c r="B1677" s="381">
        <f>(B1675+B1676)*0.245</f>
        <v>25.271750000000001</v>
      </c>
    </row>
    <row r="1678" spans="1:9" ht="15" customHeight="1">
      <c r="A1678" s="300" t="s">
        <v>98</v>
      </c>
      <c r="B1678" s="386">
        <f>SUM(B1675:B1677)</f>
        <v>128.42175</v>
      </c>
      <c r="H1678" s="394"/>
    </row>
    <row r="1679" spans="1:9" ht="11.25" customHeight="1">
      <c r="A1679" s="362"/>
      <c r="B1679" s="363"/>
      <c r="C1679" s="364"/>
      <c r="D1679" s="362"/>
      <c r="E1679" s="363"/>
      <c r="F1679" s="363"/>
      <c r="G1679" s="363"/>
      <c r="H1679" s="362"/>
    </row>
    <row r="1680" spans="1:9" ht="11.25" customHeight="1"/>
    <row r="1681" spans="1:9" ht="11.25" customHeight="1">
      <c r="A1681" s="122" t="s">
        <v>2709</v>
      </c>
    </row>
    <row r="1682" spans="1:9" ht="11.25" customHeight="1">
      <c r="A1682" s="879" t="s">
        <v>2903</v>
      </c>
      <c r="B1682" s="128" t="s">
        <v>2782</v>
      </c>
    </row>
    <row r="1683" spans="1:9" ht="39" customHeight="1">
      <c r="A1683" s="352" t="s">
        <v>1450</v>
      </c>
      <c r="B1683" s="1161" t="s">
        <v>2783</v>
      </c>
      <c r="C1683" s="1161"/>
      <c r="D1683" s="1161"/>
      <c r="E1683" s="494" t="s">
        <v>2713</v>
      </c>
      <c r="F1683" s="122"/>
      <c r="G1683" s="353"/>
    </row>
    <row r="1684" spans="1:9" ht="21" customHeight="1">
      <c r="A1684" s="804" t="s">
        <v>30</v>
      </c>
      <c r="B1684" s="354" t="s">
        <v>19</v>
      </c>
      <c r="C1684" s="293" t="s">
        <v>81</v>
      </c>
      <c r="D1684" s="803" t="s">
        <v>77</v>
      </c>
      <c r="E1684" s="803" t="s">
        <v>82</v>
      </c>
      <c r="F1684" s="862" t="s">
        <v>83</v>
      </c>
      <c r="G1684" s="355" t="s">
        <v>84</v>
      </c>
    </row>
    <row r="1685" spans="1:9" ht="15" customHeight="1">
      <c r="A1685" s="1141">
        <v>88316</v>
      </c>
      <c r="B1685" s="1129" t="s">
        <v>110</v>
      </c>
      <c r="C1685" s="293" t="s">
        <v>104</v>
      </c>
      <c r="D1685" s="1131" t="s">
        <v>383</v>
      </c>
      <c r="E1685" s="1125">
        <v>3.6703999999999999</v>
      </c>
      <c r="F1685" s="825">
        <f>'COMP AUX'!G104</f>
        <v>11.18</v>
      </c>
      <c r="G1685" s="358">
        <f>TRUNC(E1685*F1685,2)</f>
        <v>41.03</v>
      </c>
    </row>
    <row r="1686" spans="1:9" ht="15" customHeight="1">
      <c r="A1686" s="1142"/>
      <c r="B1686" s="1130"/>
      <c r="C1686" s="293" t="s">
        <v>87</v>
      </c>
      <c r="D1686" s="1131"/>
      <c r="E1686" s="1126"/>
      <c r="F1686" s="825">
        <f>'COMP AUX'!G105</f>
        <v>4.7300000000000004</v>
      </c>
      <c r="G1686" s="296">
        <f>TRUNC(E1685*F1686,2)</f>
        <v>17.36</v>
      </c>
    </row>
    <row r="1687" spans="1:9" ht="15" customHeight="1">
      <c r="A1687" s="1159" t="s">
        <v>1520</v>
      </c>
      <c r="B1687" s="1129" t="s">
        <v>118</v>
      </c>
      <c r="C1687" s="293" t="s">
        <v>104</v>
      </c>
      <c r="D1687" s="1155" t="s">
        <v>383</v>
      </c>
      <c r="E1687" s="1125">
        <v>3.6703999999999999</v>
      </c>
      <c r="F1687" s="825">
        <f>'COMP AUX'!G151</f>
        <v>15.020000000000001</v>
      </c>
      <c r="G1687" s="312">
        <f>TRUNC(E1687*F1687,2)</f>
        <v>55.12</v>
      </c>
    </row>
    <row r="1688" spans="1:9" ht="15" customHeight="1">
      <c r="A1688" s="1160"/>
      <c r="B1688" s="1130"/>
      <c r="C1688" s="293" t="s">
        <v>87</v>
      </c>
      <c r="D1688" s="1156"/>
      <c r="E1688" s="1126"/>
      <c r="F1688" s="825">
        <f>'COMP AUX'!G152</f>
        <v>4.79</v>
      </c>
      <c r="G1688" s="312">
        <f>TRUNC(E1687*F1688,2)</f>
        <v>17.579999999999998</v>
      </c>
    </row>
    <row r="1689" spans="1:9" ht="20.100000000000001" customHeight="1">
      <c r="A1689" s="1159">
        <v>87316</v>
      </c>
      <c r="B1689" s="1151" t="s">
        <v>2729</v>
      </c>
      <c r="C1689" s="293" t="s">
        <v>104</v>
      </c>
      <c r="D1689" s="1155" t="s">
        <v>1316</v>
      </c>
      <c r="E1689" s="1125">
        <v>8.5300000000000003E-4</v>
      </c>
      <c r="F1689" s="825">
        <f>'COMP AUX'!G1696</f>
        <v>47.69</v>
      </c>
      <c r="G1689" s="312">
        <f>TRUNC(E1689*F1689,2)</f>
        <v>0.04</v>
      </c>
    </row>
    <row r="1690" spans="1:9" ht="20.100000000000001" customHeight="1">
      <c r="A1690" s="1160"/>
      <c r="B1690" s="1152"/>
      <c r="C1690" s="293" t="s">
        <v>87</v>
      </c>
      <c r="D1690" s="1156"/>
      <c r="E1690" s="1126"/>
      <c r="F1690" s="825">
        <f>'COMP AUX'!G1697</f>
        <v>257.14</v>
      </c>
      <c r="G1690" s="312">
        <f>TRUNC(E1689*F1690,2)</f>
        <v>0.21</v>
      </c>
    </row>
    <row r="1691" spans="1:9" ht="16.5" customHeight="1">
      <c r="A1691" s="1159">
        <v>94097</v>
      </c>
      <c r="B1691" s="1129" t="s">
        <v>2766</v>
      </c>
      <c r="C1691" s="293" t="s">
        <v>104</v>
      </c>
      <c r="D1691" s="1167" t="s">
        <v>1553</v>
      </c>
      <c r="E1691" s="1269">
        <v>0.49</v>
      </c>
      <c r="F1691" s="825">
        <f>'COMP AUX'!G1738</f>
        <v>1.56</v>
      </c>
      <c r="G1691" s="312">
        <f>TRUNC(E1691*F1691,2)</f>
        <v>0.76</v>
      </c>
    </row>
    <row r="1692" spans="1:9" ht="15" customHeight="1">
      <c r="A1692" s="1164"/>
      <c r="B1692" s="1130"/>
      <c r="C1692" s="293" t="s">
        <v>87</v>
      </c>
      <c r="D1692" s="1167"/>
      <c r="E1692" s="1269"/>
      <c r="F1692" s="825">
        <f>'COMP AUX'!G1739</f>
        <v>3.06</v>
      </c>
      <c r="G1692" s="312">
        <f>TRUNC(E1691*F1692,2)</f>
        <v>1.49</v>
      </c>
    </row>
    <row r="1693" spans="1:9" ht="20.100000000000001" customHeight="1">
      <c r="A1693" s="1168">
        <v>94970</v>
      </c>
      <c r="B1693" s="861" t="s">
        <v>2767</v>
      </c>
      <c r="C1693" s="293" t="s">
        <v>104</v>
      </c>
      <c r="D1693" s="1167" t="s">
        <v>438</v>
      </c>
      <c r="E1693" s="1269">
        <v>6.2080000000000003E-2</v>
      </c>
      <c r="F1693" s="863">
        <f>'COMP AUX'!G907</f>
        <v>35.8538</v>
      </c>
      <c r="G1693" s="312">
        <f>TRUNC(E1693*F1693,2)</f>
        <v>2.2200000000000002</v>
      </c>
    </row>
    <row r="1694" spans="1:9" ht="20.100000000000001" customHeight="1">
      <c r="A1694" s="1160"/>
      <c r="B1694" s="861"/>
      <c r="C1694" s="293" t="s">
        <v>87</v>
      </c>
      <c r="D1694" s="1167"/>
      <c r="E1694" s="1269"/>
      <c r="F1694" s="863">
        <f>'COMP AUX'!G908</f>
        <v>272.17680000000001</v>
      </c>
      <c r="G1694" s="312">
        <f>TRUNC(E1693*F1694,2)</f>
        <v>16.89</v>
      </c>
      <c r="I1694" s="122" t="s">
        <v>2773</v>
      </c>
    </row>
    <row r="1695" spans="1:9" ht="20.100000000000001" customHeight="1">
      <c r="A1695" s="1159">
        <v>100475</v>
      </c>
      <c r="B1695" s="1129" t="s">
        <v>2781</v>
      </c>
      <c r="C1695" s="293" t="s">
        <v>104</v>
      </c>
      <c r="D1695" s="1155" t="s">
        <v>1316</v>
      </c>
      <c r="E1695" s="1125">
        <v>6.4000000000000001E-2</v>
      </c>
      <c r="F1695" s="825">
        <v>53.55</v>
      </c>
      <c r="G1695" s="312">
        <f>TRUNC(E1695*F1695,2)</f>
        <v>3.42</v>
      </c>
    </row>
    <row r="1696" spans="1:9" ht="20.100000000000001" customHeight="1">
      <c r="A1696" s="1160"/>
      <c r="B1696" s="1130"/>
      <c r="C1696" s="293" t="s">
        <v>87</v>
      </c>
      <c r="D1696" s="1156"/>
      <c r="E1696" s="1126"/>
      <c r="F1696" s="825">
        <v>405.61</v>
      </c>
      <c r="G1696" s="312">
        <f>TRUNC(E1695*F1696,2)</f>
        <v>25.95</v>
      </c>
    </row>
    <row r="1697" spans="1:8" ht="20.100000000000001" customHeight="1">
      <c r="A1697" s="1159">
        <v>97734</v>
      </c>
      <c r="B1697" s="1129" t="s">
        <v>2771</v>
      </c>
      <c r="C1697" s="293" t="s">
        <v>104</v>
      </c>
      <c r="D1697" s="1155" t="s">
        <v>1316</v>
      </c>
      <c r="E1697" s="1125">
        <v>3.6999999999999998E-2</v>
      </c>
      <c r="F1697" s="825">
        <v>1272.01</v>
      </c>
      <c r="G1697" s="312">
        <f>TRUNC(E1697*F1697,2)</f>
        <v>47.06</v>
      </c>
    </row>
    <row r="1698" spans="1:8" ht="20.100000000000001" customHeight="1">
      <c r="A1698" s="1160"/>
      <c r="B1698" s="1130"/>
      <c r="C1698" s="293" t="s">
        <v>87</v>
      </c>
      <c r="D1698" s="1156"/>
      <c r="E1698" s="1126"/>
      <c r="F1698" s="825">
        <v>834.22</v>
      </c>
      <c r="G1698" s="312">
        <f>TRUNC(E1697*F1698,2)</f>
        <v>30.86</v>
      </c>
    </row>
    <row r="1699" spans="1:8" ht="20.100000000000001" customHeight="1">
      <c r="A1699" s="348" t="s">
        <v>2772</v>
      </c>
      <c r="B1699" s="464" t="s">
        <v>2302</v>
      </c>
      <c r="C1699" s="293" t="s">
        <v>87</v>
      </c>
      <c r="D1699" s="324" t="s">
        <v>381</v>
      </c>
      <c r="E1699" s="867">
        <v>69.12</v>
      </c>
      <c r="F1699" s="863">
        <v>0.37</v>
      </c>
      <c r="G1699" s="312">
        <f>TRUNC(E1699*F1699,2)</f>
        <v>25.57</v>
      </c>
    </row>
    <row r="1700" spans="1:8" ht="15" customHeight="1">
      <c r="A1700" s="865"/>
      <c r="F1700" s="360" t="s">
        <v>90</v>
      </c>
      <c r="G1700" s="322">
        <f>G1685+G1687+G1689+G1691+G1693+G1695+G1697</f>
        <v>149.65000000000003</v>
      </c>
    </row>
    <row r="1701" spans="1:8" ht="15" customHeight="1">
      <c r="F1701" s="301" t="s">
        <v>92</v>
      </c>
      <c r="G1701" s="312">
        <f>G1686+G1688+G1690+G1692+G1694+G1696+G1698+G1699</f>
        <v>135.91</v>
      </c>
    </row>
    <row r="1702" spans="1:8" ht="15" customHeight="1">
      <c r="A1702" s="122" t="s">
        <v>94</v>
      </c>
      <c r="F1702" s="301" t="s">
        <v>93</v>
      </c>
      <c r="G1702" s="820">
        <f>SUM(G1700:G1701)</f>
        <v>285.56000000000006</v>
      </c>
    </row>
    <row r="1703" spans="1:8" ht="15" customHeight="1">
      <c r="A1703" s="300" t="s">
        <v>95</v>
      </c>
      <c r="B1703" s="385">
        <f>G1702</f>
        <v>285.56000000000006</v>
      </c>
    </row>
    <row r="1704" spans="1:8" ht="15" customHeight="1">
      <c r="A1704" s="382" t="s">
        <v>2272</v>
      </c>
      <c r="B1704" s="381"/>
    </row>
    <row r="1705" spans="1:8" ht="15" customHeight="1">
      <c r="A1705" s="443" t="s">
        <v>2311</v>
      </c>
      <c r="B1705" s="381">
        <f>(B1703+B1704)*0.245</f>
        <v>69.96220000000001</v>
      </c>
    </row>
    <row r="1706" spans="1:8" ht="15" customHeight="1">
      <c r="A1706" s="300" t="s">
        <v>98</v>
      </c>
      <c r="B1706" s="386">
        <f>SUM(B1703:B1705)</f>
        <v>355.52220000000005</v>
      </c>
      <c r="H1706" s="394"/>
    </row>
    <row r="1707" spans="1:8" ht="11.25" customHeight="1">
      <c r="A1707" s="362"/>
      <c r="B1707" s="363"/>
      <c r="C1707" s="364"/>
      <c r="D1707" s="362"/>
      <c r="E1707" s="363"/>
      <c r="F1707" s="363"/>
      <c r="G1707" s="363"/>
      <c r="H1707" s="362"/>
    </row>
    <row r="1708" spans="1:8" ht="11.25" customHeight="1"/>
    <row r="1709" spans="1:8" ht="11.25" customHeight="1">
      <c r="A1709" s="122" t="s">
        <v>2779</v>
      </c>
    </row>
    <row r="1710" spans="1:8" ht="11.25" customHeight="1">
      <c r="A1710" s="879" t="s">
        <v>2904</v>
      </c>
      <c r="B1710" s="128">
        <v>97904</v>
      </c>
    </row>
    <row r="1711" spans="1:8" ht="22.5" customHeight="1">
      <c r="A1711" s="352" t="s">
        <v>1450</v>
      </c>
      <c r="B1711" s="1161" t="s">
        <v>2784</v>
      </c>
      <c r="C1711" s="1161"/>
      <c r="D1711" s="1161"/>
      <c r="E1711" s="494" t="s">
        <v>2713</v>
      </c>
      <c r="F1711" s="122"/>
      <c r="G1711" s="353"/>
    </row>
    <row r="1712" spans="1:8" ht="21" customHeight="1">
      <c r="A1712" s="804" t="s">
        <v>30</v>
      </c>
      <c r="B1712" s="354" t="s">
        <v>19</v>
      </c>
      <c r="C1712" s="293" t="s">
        <v>81</v>
      </c>
      <c r="D1712" s="803" t="s">
        <v>77</v>
      </c>
      <c r="E1712" s="803" t="s">
        <v>82</v>
      </c>
      <c r="F1712" s="862" t="s">
        <v>83</v>
      </c>
      <c r="G1712" s="355" t="s">
        <v>84</v>
      </c>
    </row>
    <row r="1713" spans="1:9" ht="15" customHeight="1">
      <c r="A1713" s="1141">
        <v>88316</v>
      </c>
      <c r="B1713" s="1151" t="s">
        <v>110</v>
      </c>
      <c r="C1713" s="970" t="s">
        <v>104</v>
      </c>
      <c r="D1713" s="1270" t="s">
        <v>383</v>
      </c>
      <c r="E1713" s="1157">
        <v>10.5816</v>
      </c>
      <c r="F1713" s="831">
        <f>'COMP AUX'!G104</f>
        <v>11.18</v>
      </c>
      <c r="G1713" s="358">
        <f>TRUNC(E1713*F1713,2)</f>
        <v>118.3</v>
      </c>
    </row>
    <row r="1714" spans="1:9" ht="15" customHeight="1">
      <c r="A1714" s="1142"/>
      <c r="B1714" s="1152"/>
      <c r="C1714" s="970" t="s">
        <v>87</v>
      </c>
      <c r="D1714" s="1270"/>
      <c r="E1714" s="1158"/>
      <c r="F1714" s="831">
        <f>'COMP AUX'!G105</f>
        <v>4.7300000000000004</v>
      </c>
      <c r="G1714" s="296">
        <f>TRUNC(E1713*F1714,2)</f>
        <v>50.05</v>
      </c>
    </row>
    <row r="1715" spans="1:9" ht="15" customHeight="1">
      <c r="A1715" s="1159" t="s">
        <v>1520</v>
      </c>
      <c r="B1715" s="1151" t="s">
        <v>118</v>
      </c>
      <c r="C1715" s="970" t="s">
        <v>104</v>
      </c>
      <c r="D1715" s="1271" t="s">
        <v>383</v>
      </c>
      <c r="E1715" s="1157">
        <v>10.5816</v>
      </c>
      <c r="F1715" s="831">
        <f>'COMP AUX'!G151</f>
        <v>15.020000000000001</v>
      </c>
      <c r="G1715" s="312">
        <f>TRUNC(E1715*F1715,2)</f>
        <v>158.93</v>
      </c>
    </row>
    <row r="1716" spans="1:9" ht="15" customHeight="1">
      <c r="A1716" s="1160"/>
      <c r="B1716" s="1152"/>
      <c r="C1716" s="970" t="s">
        <v>87</v>
      </c>
      <c r="D1716" s="1272"/>
      <c r="E1716" s="1158"/>
      <c r="F1716" s="831">
        <f>'COMP AUX'!G152</f>
        <v>4.79</v>
      </c>
      <c r="G1716" s="312">
        <f>TRUNC(E1715*F1716,2)</f>
        <v>50.68</v>
      </c>
    </row>
    <row r="1717" spans="1:9" ht="15" customHeight="1">
      <c r="A1717" s="1159">
        <v>5678</v>
      </c>
      <c r="B1717" s="1151" t="s">
        <v>2775</v>
      </c>
      <c r="C1717" s="970" t="s">
        <v>104</v>
      </c>
      <c r="D1717" s="1271" t="s">
        <v>383</v>
      </c>
      <c r="E1717" s="1179">
        <v>2.068E-2</v>
      </c>
      <c r="F1717" s="831">
        <f>'COMP AUX'!G472</f>
        <v>14.43</v>
      </c>
      <c r="G1717" s="312">
        <f>TRUNC(E1717*F1717,2)</f>
        <v>0.28999999999999998</v>
      </c>
    </row>
    <row r="1718" spans="1:9" ht="30" customHeight="1">
      <c r="A1718" s="1160"/>
      <c r="B1718" s="1152"/>
      <c r="C1718" s="970" t="s">
        <v>87</v>
      </c>
      <c r="D1718" s="1272"/>
      <c r="E1718" s="1180"/>
      <c r="F1718" s="831">
        <f>'COMP AUX'!G473</f>
        <v>67</v>
      </c>
      <c r="G1718" s="312">
        <f>TRUNC(E1717*F1718,2)</f>
        <v>1.38</v>
      </c>
    </row>
    <row r="1719" spans="1:9" ht="15" customHeight="1">
      <c r="A1719" s="1159">
        <v>5679</v>
      </c>
      <c r="B1719" s="1151" t="s">
        <v>2776</v>
      </c>
      <c r="C1719" s="970" t="s">
        <v>104</v>
      </c>
      <c r="D1719" s="1271" t="s">
        <v>383</v>
      </c>
      <c r="E1719" s="1179">
        <v>6.9699999999999998E-2</v>
      </c>
      <c r="F1719" s="831">
        <f>'COMP AUX'!G497</f>
        <v>14.43</v>
      </c>
      <c r="G1719" s="312">
        <f>TRUNC(E1719*F1719,2)</f>
        <v>1</v>
      </c>
    </row>
    <row r="1720" spans="1:9" ht="30" customHeight="1">
      <c r="A1720" s="1160"/>
      <c r="B1720" s="1152"/>
      <c r="C1720" s="970" t="s">
        <v>87</v>
      </c>
      <c r="D1720" s="1272"/>
      <c r="E1720" s="1180"/>
      <c r="F1720" s="831">
        <f>'COMP AUX'!G498</f>
        <v>20.149999999999999</v>
      </c>
      <c r="G1720" s="312">
        <f>TRUNC(E1719*F1720,2)</f>
        <v>1.4</v>
      </c>
    </row>
    <row r="1721" spans="1:9" ht="20.100000000000001" customHeight="1">
      <c r="A1721" s="1159">
        <v>87316</v>
      </c>
      <c r="B1721" s="1151" t="s">
        <v>2730</v>
      </c>
      <c r="C1721" s="970" t="s">
        <v>104</v>
      </c>
      <c r="D1721" s="1271" t="s">
        <v>1316</v>
      </c>
      <c r="E1721" s="1157">
        <v>2.2049999999999999E-3</v>
      </c>
      <c r="F1721" s="831">
        <f>'COMP AUX'!G1696</f>
        <v>47.69</v>
      </c>
      <c r="G1721" s="312">
        <f>TRUNC(E1721*F1721,2)</f>
        <v>0.1</v>
      </c>
    </row>
    <row r="1722" spans="1:9" ht="20.100000000000001" customHeight="1">
      <c r="A1722" s="1160"/>
      <c r="B1722" s="1152"/>
      <c r="C1722" s="970" t="s">
        <v>87</v>
      </c>
      <c r="D1722" s="1272"/>
      <c r="E1722" s="1158"/>
      <c r="F1722" s="831">
        <f>'COMP AUX'!G1697</f>
        <v>257.14</v>
      </c>
      <c r="G1722" s="312">
        <f>TRUNC(E1721*F1722,2)</f>
        <v>0.56000000000000005</v>
      </c>
    </row>
    <row r="1723" spans="1:9" ht="16.5" customHeight="1">
      <c r="A1723" s="1159" t="s">
        <v>2777</v>
      </c>
      <c r="B1723" s="1151" t="s">
        <v>2766</v>
      </c>
      <c r="C1723" s="970" t="s">
        <v>104</v>
      </c>
      <c r="D1723" s="1273" t="s">
        <v>1553</v>
      </c>
      <c r="E1723" s="1172">
        <v>1.2</v>
      </c>
      <c r="F1723" s="831">
        <v>2.27</v>
      </c>
      <c r="G1723" s="312">
        <f>TRUNC(E1723*F1723,2)</f>
        <v>2.72</v>
      </c>
    </row>
    <row r="1724" spans="1:9" ht="15" customHeight="1">
      <c r="A1724" s="1164"/>
      <c r="B1724" s="1152"/>
      <c r="C1724" s="970" t="s">
        <v>87</v>
      </c>
      <c r="D1724" s="1273"/>
      <c r="E1724" s="1172"/>
      <c r="F1724" s="831">
        <v>7.0000000000000007E-2</v>
      </c>
      <c r="G1724" s="312">
        <f>TRUNC(E1723*F1724,2)</f>
        <v>0.08</v>
      </c>
    </row>
    <row r="1725" spans="1:9" ht="20.100000000000001" customHeight="1">
      <c r="A1725" s="1168">
        <v>94970</v>
      </c>
      <c r="B1725" s="1151" t="s">
        <v>2767</v>
      </c>
      <c r="C1725" s="970" t="s">
        <v>104</v>
      </c>
      <c r="D1725" s="1273" t="s">
        <v>438</v>
      </c>
      <c r="E1725" s="1172">
        <v>0.17580000000000001</v>
      </c>
      <c r="F1725" s="866">
        <f>'COMP AUX'!G907</f>
        <v>35.8538</v>
      </c>
      <c r="G1725" s="312">
        <f>TRUNC(E1725*F1725,2)</f>
        <v>6.3</v>
      </c>
    </row>
    <row r="1726" spans="1:9" ht="20.100000000000001" customHeight="1">
      <c r="A1726" s="1160"/>
      <c r="B1726" s="1152"/>
      <c r="C1726" s="970" t="s">
        <v>87</v>
      </c>
      <c r="D1726" s="1273"/>
      <c r="E1726" s="1172"/>
      <c r="F1726" s="866">
        <f>'COMP AUX'!G908</f>
        <v>272.17680000000001</v>
      </c>
      <c r="G1726" s="312">
        <f>TRUNC(E1725*F1726,2)</f>
        <v>47.84</v>
      </c>
      <c r="I1726" s="122" t="s">
        <v>2773</v>
      </c>
    </row>
    <row r="1727" spans="1:9" ht="20.100000000000001" customHeight="1">
      <c r="A1727" s="1159">
        <v>96920</v>
      </c>
      <c r="B1727" s="1151" t="s">
        <v>2768</v>
      </c>
      <c r="C1727" s="970" t="s">
        <v>104</v>
      </c>
      <c r="D1727" s="1271" t="s">
        <v>1316</v>
      </c>
      <c r="E1727" s="1157">
        <v>0.2152</v>
      </c>
      <c r="F1727" s="831">
        <v>49.98</v>
      </c>
      <c r="G1727" s="312">
        <f>TRUNC(E1727*F1727,2)</f>
        <v>10.75</v>
      </c>
    </row>
    <row r="1728" spans="1:9" ht="20.100000000000001" customHeight="1">
      <c r="A1728" s="1160"/>
      <c r="B1728" s="1152"/>
      <c r="C1728" s="970" t="s">
        <v>87</v>
      </c>
      <c r="D1728" s="1272"/>
      <c r="E1728" s="1158"/>
      <c r="F1728" s="831">
        <v>365.82</v>
      </c>
      <c r="G1728" s="312">
        <f>TRUNC(E1727*F1728,2)</f>
        <v>78.72</v>
      </c>
    </row>
    <row r="1729" spans="1:8" ht="20.100000000000001" customHeight="1">
      <c r="A1729" s="1221">
        <v>97736</v>
      </c>
      <c r="B1729" s="1151" t="s">
        <v>2778</v>
      </c>
      <c r="C1729" s="970" t="s">
        <v>104</v>
      </c>
      <c r="D1729" s="1271" t="s">
        <v>1316</v>
      </c>
      <c r="E1729" s="1157">
        <v>0.10580000000000001</v>
      </c>
      <c r="F1729" s="831">
        <v>263.75</v>
      </c>
      <c r="G1729" s="312">
        <f>TRUNC(E1729*F1729,2)</f>
        <v>27.9</v>
      </c>
    </row>
    <row r="1730" spans="1:8" ht="20.100000000000001" customHeight="1">
      <c r="A1730" s="1222"/>
      <c r="B1730" s="1152"/>
      <c r="C1730" s="970" t="s">
        <v>87</v>
      </c>
      <c r="D1730" s="1272"/>
      <c r="E1730" s="1158"/>
      <c r="F1730" s="831">
        <v>792.4</v>
      </c>
      <c r="G1730" s="312">
        <f>TRUNC(E1729*F1730,2)</f>
        <v>83.83</v>
      </c>
    </row>
    <row r="1731" spans="1:8" ht="20.100000000000001" customHeight="1">
      <c r="A1731" s="348" t="s">
        <v>2772</v>
      </c>
      <c r="B1731" s="880" t="s">
        <v>2302</v>
      </c>
      <c r="C1731" s="970" t="s">
        <v>87</v>
      </c>
      <c r="D1731" s="971" t="s">
        <v>381</v>
      </c>
      <c r="E1731" s="966">
        <v>367.2</v>
      </c>
      <c r="F1731" s="831">
        <v>0.37</v>
      </c>
      <c r="G1731" s="312">
        <f>TRUNC(E1731*F1731,2)</f>
        <v>135.86000000000001</v>
      </c>
    </row>
    <row r="1732" spans="1:8" ht="15" customHeight="1">
      <c r="A1732" s="865"/>
      <c r="F1732" s="360" t="s">
        <v>90</v>
      </c>
      <c r="G1732" s="322">
        <f>G1713+G1715+G1721+G1723+G1725+G1727+G1729</f>
        <v>325.00000000000006</v>
      </c>
    </row>
    <row r="1733" spans="1:8" ht="15" customHeight="1">
      <c r="F1733" s="301" t="s">
        <v>92</v>
      </c>
      <c r="G1733" s="312">
        <f>G1714+G1716+G1722+G1724+G1726+G1728+G1730+G1731</f>
        <v>447.62</v>
      </c>
    </row>
    <row r="1734" spans="1:8" ht="15" customHeight="1">
      <c r="A1734" s="122" t="s">
        <v>94</v>
      </c>
      <c r="F1734" s="301" t="s">
        <v>93</v>
      </c>
      <c r="G1734" s="820">
        <f>SUM(G1732:G1733)</f>
        <v>772.62000000000012</v>
      </c>
    </row>
    <row r="1735" spans="1:8" ht="15" customHeight="1">
      <c r="A1735" s="300" t="s">
        <v>95</v>
      </c>
      <c r="B1735" s="385">
        <f>G1734</f>
        <v>772.62000000000012</v>
      </c>
    </row>
    <row r="1736" spans="1:8" ht="15" customHeight="1">
      <c r="A1736" s="382" t="s">
        <v>2272</v>
      </c>
      <c r="B1736" s="381"/>
    </row>
    <row r="1737" spans="1:8" ht="15" customHeight="1">
      <c r="A1737" s="443" t="s">
        <v>2311</v>
      </c>
      <c r="B1737" s="381">
        <f>(B1735+B1736)*0.245</f>
        <v>189.29190000000003</v>
      </c>
    </row>
    <row r="1738" spans="1:8" ht="15" customHeight="1">
      <c r="A1738" s="300" t="s">
        <v>98</v>
      </c>
      <c r="B1738" s="386">
        <f>SUM(B1735:B1737)</f>
        <v>961.91190000000017</v>
      </c>
      <c r="H1738" s="394"/>
    </row>
    <row r="1739" spans="1:8" ht="11.25" customHeight="1">
      <c r="A1739" s="362"/>
      <c r="B1739" s="363"/>
      <c r="C1739" s="364"/>
      <c r="D1739" s="362"/>
      <c r="E1739" s="363"/>
      <c r="F1739" s="363"/>
      <c r="G1739" s="363"/>
      <c r="H1739" s="362"/>
    </row>
    <row r="1740" spans="1:8" ht="11.25" customHeight="1"/>
    <row r="1741" spans="1:8" ht="11.25" customHeight="1">
      <c r="A1741" s="122" t="s">
        <v>2779</v>
      </c>
    </row>
    <row r="1742" spans="1:8" ht="11.25" customHeight="1">
      <c r="A1742" s="879" t="s">
        <v>2905</v>
      </c>
      <c r="B1742" s="128">
        <v>97902</v>
      </c>
    </row>
    <row r="1743" spans="1:8" ht="21" customHeight="1">
      <c r="A1743" s="352" t="s">
        <v>1450</v>
      </c>
      <c r="B1743" s="1161" t="s">
        <v>2785</v>
      </c>
      <c r="C1743" s="1161"/>
      <c r="D1743" s="1161"/>
      <c r="E1743" s="494" t="s">
        <v>2713</v>
      </c>
      <c r="F1743" s="122"/>
      <c r="G1743" s="353"/>
    </row>
    <row r="1744" spans="1:8" ht="21" customHeight="1">
      <c r="A1744" s="804" t="s">
        <v>30</v>
      </c>
      <c r="B1744" s="354" t="s">
        <v>19</v>
      </c>
      <c r="C1744" s="293" t="s">
        <v>81</v>
      </c>
      <c r="D1744" s="803" t="s">
        <v>77</v>
      </c>
      <c r="E1744" s="803" t="s">
        <v>82</v>
      </c>
      <c r="F1744" s="862" t="s">
        <v>83</v>
      </c>
      <c r="G1744" s="355" t="s">
        <v>84</v>
      </c>
    </row>
    <row r="1745" spans="1:9" ht="15" customHeight="1">
      <c r="A1745" s="1141">
        <v>88316</v>
      </c>
      <c r="B1745" s="1151" t="s">
        <v>110</v>
      </c>
      <c r="C1745" s="293" t="s">
        <v>104</v>
      </c>
      <c r="D1745" s="1131" t="s">
        <v>383</v>
      </c>
      <c r="E1745" s="1157">
        <v>5.0744999999999996</v>
      </c>
      <c r="F1745" s="831">
        <f>'COMP AUX'!G104</f>
        <v>11.18</v>
      </c>
      <c r="G1745" s="358">
        <f>TRUNC(E1745*F1745,2)</f>
        <v>56.73</v>
      </c>
    </row>
    <row r="1746" spans="1:9" ht="15" customHeight="1">
      <c r="A1746" s="1142"/>
      <c r="B1746" s="1152"/>
      <c r="C1746" s="293" t="s">
        <v>87</v>
      </c>
      <c r="D1746" s="1131"/>
      <c r="E1746" s="1158"/>
      <c r="F1746" s="831">
        <f>'COMP AUX'!G105</f>
        <v>4.7300000000000004</v>
      </c>
      <c r="G1746" s="296">
        <f>TRUNC(E1745*F1746,2)</f>
        <v>24</v>
      </c>
    </row>
    <row r="1747" spans="1:9" ht="15" customHeight="1">
      <c r="A1747" s="1159" t="s">
        <v>1520</v>
      </c>
      <c r="B1747" s="1151" t="s">
        <v>118</v>
      </c>
      <c r="C1747" s="293" t="s">
        <v>104</v>
      </c>
      <c r="D1747" s="1155" t="s">
        <v>383</v>
      </c>
      <c r="E1747" s="1157">
        <v>5.0744999999999996</v>
      </c>
      <c r="F1747" s="831">
        <f>'COMP AUX'!G151</f>
        <v>15.020000000000001</v>
      </c>
      <c r="G1747" s="312">
        <f>TRUNC(E1747*F1747,2)</f>
        <v>76.209999999999994</v>
      </c>
    </row>
    <row r="1748" spans="1:9" ht="15" customHeight="1">
      <c r="A1748" s="1160"/>
      <c r="B1748" s="1152"/>
      <c r="C1748" s="293" t="s">
        <v>87</v>
      </c>
      <c r="D1748" s="1156"/>
      <c r="E1748" s="1158"/>
      <c r="F1748" s="831">
        <f>'COMP AUX'!G152</f>
        <v>4.79</v>
      </c>
      <c r="G1748" s="312">
        <f>TRUNC(E1747*F1748,2)</f>
        <v>24.3</v>
      </c>
    </row>
    <row r="1749" spans="1:9" ht="15" customHeight="1">
      <c r="A1749" s="1159">
        <v>5678</v>
      </c>
      <c r="B1749" s="1151" t="s">
        <v>2775</v>
      </c>
      <c r="C1749" s="293" t="s">
        <v>104</v>
      </c>
      <c r="D1749" s="1155" t="s">
        <v>383</v>
      </c>
      <c r="E1749" s="1179">
        <v>7.2500000000000004E-3</v>
      </c>
      <c r="F1749" s="831">
        <f>'COMP AUX'!G472</f>
        <v>14.43</v>
      </c>
      <c r="G1749" s="312">
        <f>TRUNC(E1749*F1749,2)</f>
        <v>0.1</v>
      </c>
    </row>
    <row r="1750" spans="1:9" ht="30" customHeight="1">
      <c r="A1750" s="1160"/>
      <c r="B1750" s="1152"/>
      <c r="C1750" s="293" t="s">
        <v>87</v>
      </c>
      <c r="D1750" s="1156"/>
      <c r="E1750" s="1180"/>
      <c r="F1750" s="831">
        <f>'COMP AUX'!G473</f>
        <v>67</v>
      </c>
      <c r="G1750" s="312">
        <f>TRUNC(E1749*F1750,2)</f>
        <v>0.48</v>
      </c>
    </row>
    <row r="1751" spans="1:9" ht="15" customHeight="1">
      <c r="A1751" s="1159">
        <v>5679</v>
      </c>
      <c r="B1751" s="1151" t="s">
        <v>2776</v>
      </c>
      <c r="C1751" s="293" t="s">
        <v>104</v>
      </c>
      <c r="D1751" s="1155" t="s">
        <v>383</v>
      </c>
      <c r="E1751" s="1179">
        <v>2.4500000000000001E-2</v>
      </c>
      <c r="F1751" s="831">
        <f>'COMP AUX'!G497</f>
        <v>14.43</v>
      </c>
      <c r="G1751" s="312">
        <f>TRUNC(E1751*F1751,2)</f>
        <v>0.35</v>
      </c>
    </row>
    <row r="1752" spans="1:9" ht="30" customHeight="1">
      <c r="A1752" s="1160"/>
      <c r="B1752" s="1152"/>
      <c r="C1752" s="293" t="s">
        <v>87</v>
      </c>
      <c r="D1752" s="1156"/>
      <c r="E1752" s="1180"/>
      <c r="F1752" s="831">
        <f>'COMP AUX'!G498</f>
        <v>20.149999999999999</v>
      </c>
      <c r="G1752" s="312">
        <f>TRUNC(E1751*F1752,2)</f>
        <v>0.49</v>
      </c>
    </row>
    <row r="1753" spans="1:9" ht="20.100000000000001" customHeight="1">
      <c r="A1753" s="1159">
        <v>87316</v>
      </c>
      <c r="B1753" s="1151" t="s">
        <v>2730</v>
      </c>
      <c r="C1753" s="293" t="s">
        <v>104</v>
      </c>
      <c r="D1753" s="1155" t="s">
        <v>1316</v>
      </c>
      <c r="E1753" s="1179">
        <v>1.16E-3</v>
      </c>
      <c r="F1753" s="831">
        <v>47.69</v>
      </c>
      <c r="G1753" s="312">
        <f>TRUNC(E1753*F1753,2)</f>
        <v>0.05</v>
      </c>
    </row>
    <row r="1754" spans="1:9" ht="20.100000000000001" customHeight="1">
      <c r="A1754" s="1160"/>
      <c r="B1754" s="1152"/>
      <c r="C1754" s="293" t="s">
        <v>87</v>
      </c>
      <c r="D1754" s="1156"/>
      <c r="E1754" s="1180"/>
      <c r="F1754" s="831">
        <v>257.14</v>
      </c>
      <c r="G1754" s="312">
        <f>TRUNC(E1753*F1754,2)</f>
        <v>0.28999999999999998</v>
      </c>
    </row>
    <row r="1755" spans="1:9" ht="16.5" customHeight="1">
      <c r="A1755" s="1159" t="s">
        <v>2777</v>
      </c>
      <c r="B1755" s="1151" t="s">
        <v>2766</v>
      </c>
      <c r="C1755" s="293" t="s">
        <v>104</v>
      </c>
      <c r="D1755" s="1167" t="s">
        <v>1553</v>
      </c>
      <c r="E1755" s="1172">
        <v>6.2E-2</v>
      </c>
      <c r="F1755" s="831">
        <v>2.27</v>
      </c>
      <c r="G1755" s="312">
        <f>TRUNC(E1755*F1755,2)</f>
        <v>0.14000000000000001</v>
      </c>
    </row>
    <row r="1756" spans="1:9" ht="15" customHeight="1">
      <c r="A1756" s="1164"/>
      <c r="B1756" s="1152"/>
      <c r="C1756" s="293" t="s">
        <v>87</v>
      </c>
      <c r="D1756" s="1167"/>
      <c r="E1756" s="1172"/>
      <c r="F1756" s="831">
        <v>7.0000000000000007E-2</v>
      </c>
      <c r="G1756" s="312">
        <f>TRUNC(E1755*F1756,2)</f>
        <v>0</v>
      </c>
    </row>
    <row r="1757" spans="1:9" ht="20.100000000000001" customHeight="1">
      <c r="A1757" s="1168">
        <v>94970</v>
      </c>
      <c r="B1757" s="1151" t="s">
        <v>2767</v>
      </c>
      <c r="C1757" s="293" t="s">
        <v>104</v>
      </c>
      <c r="D1757" s="1167" t="s">
        <v>438</v>
      </c>
      <c r="E1757" s="1172">
        <v>7.3999999999999996E-2</v>
      </c>
      <c r="F1757" s="866">
        <v>44.72</v>
      </c>
      <c r="G1757" s="312">
        <f>TRUNC(E1757*F1757,2)</f>
        <v>3.3</v>
      </c>
    </row>
    <row r="1758" spans="1:9" ht="20.100000000000001" customHeight="1">
      <c r="A1758" s="1160"/>
      <c r="B1758" s="1152"/>
      <c r="C1758" s="293" t="s">
        <v>87</v>
      </c>
      <c r="D1758" s="1167"/>
      <c r="E1758" s="1172"/>
      <c r="F1758" s="866">
        <v>275.16000000000003</v>
      </c>
      <c r="G1758" s="312">
        <f>TRUNC(E1757*F1758,2)</f>
        <v>20.36</v>
      </c>
      <c r="I1758" s="122" t="s">
        <v>2773</v>
      </c>
    </row>
    <row r="1759" spans="1:9" ht="20.100000000000001" customHeight="1">
      <c r="A1759" s="1159">
        <v>96920</v>
      </c>
      <c r="B1759" s="1151" t="s">
        <v>2768</v>
      </c>
      <c r="C1759" s="293" t="s">
        <v>104</v>
      </c>
      <c r="D1759" s="1155" t="s">
        <v>1316</v>
      </c>
      <c r="E1759" s="1179">
        <v>1.3500000000000001E-3</v>
      </c>
      <c r="F1759" s="831">
        <v>49.98</v>
      </c>
      <c r="G1759" s="312">
        <f>TRUNC(E1759*F1759,2)</f>
        <v>0.06</v>
      </c>
    </row>
    <row r="1760" spans="1:9" ht="20.100000000000001" customHeight="1">
      <c r="A1760" s="1160"/>
      <c r="B1760" s="1152"/>
      <c r="C1760" s="293" t="s">
        <v>87</v>
      </c>
      <c r="D1760" s="1156"/>
      <c r="E1760" s="1180"/>
      <c r="F1760" s="831">
        <v>365.82</v>
      </c>
      <c r="G1760" s="312">
        <f>TRUNC(E1759*F1760,2)</f>
        <v>0.49</v>
      </c>
    </row>
    <row r="1761" spans="1:8" ht="20.100000000000001" customHeight="1">
      <c r="A1761" s="1221">
        <v>97735</v>
      </c>
      <c r="B1761" s="1151" t="s">
        <v>2786</v>
      </c>
      <c r="C1761" s="293" t="s">
        <v>104</v>
      </c>
      <c r="D1761" s="1155" t="s">
        <v>1316</v>
      </c>
      <c r="E1761" s="1157">
        <v>3.73E-2</v>
      </c>
      <c r="F1761" s="831">
        <v>907.16</v>
      </c>
      <c r="G1761" s="312">
        <f>TRUNC(E1761*F1761,2)</f>
        <v>33.83</v>
      </c>
    </row>
    <row r="1762" spans="1:8" ht="20.100000000000001" customHeight="1">
      <c r="A1762" s="1222"/>
      <c r="B1762" s="1152"/>
      <c r="C1762" s="293" t="s">
        <v>87</v>
      </c>
      <c r="D1762" s="1156"/>
      <c r="E1762" s="1158"/>
      <c r="F1762" s="831">
        <v>826.78</v>
      </c>
      <c r="G1762" s="312">
        <f>TRUNC(E1761*F1762,2)</f>
        <v>30.83</v>
      </c>
    </row>
    <row r="1763" spans="1:8" ht="20.100000000000001" customHeight="1">
      <c r="A1763" s="348" t="s">
        <v>2772</v>
      </c>
      <c r="B1763" s="880" t="s">
        <v>2302</v>
      </c>
      <c r="C1763" s="293" t="s">
        <v>87</v>
      </c>
      <c r="D1763" s="909" t="s">
        <v>381</v>
      </c>
      <c r="E1763" s="966">
        <v>144</v>
      </c>
      <c r="F1763" s="831">
        <v>0.37</v>
      </c>
      <c r="G1763" s="312">
        <f>TRUNC(E1763*F1763,2)</f>
        <v>53.28</v>
      </c>
    </row>
    <row r="1764" spans="1:8" ht="15" customHeight="1">
      <c r="A1764" s="865"/>
      <c r="F1764" s="360" t="s">
        <v>90</v>
      </c>
      <c r="G1764" s="322">
        <f>G1745+G1747+G1753+G1755+G1757+G1759+G1761</f>
        <v>170.32</v>
      </c>
    </row>
    <row r="1765" spans="1:8" ht="15" customHeight="1">
      <c r="F1765" s="301" t="s">
        <v>92</v>
      </c>
      <c r="G1765" s="312">
        <f>G1746+G1748+G1754+G1756+G1758+G1760+G1762+G1763</f>
        <v>153.54999999999998</v>
      </c>
    </row>
    <row r="1766" spans="1:8" ht="15" customHeight="1">
      <c r="A1766" s="122" t="s">
        <v>94</v>
      </c>
      <c r="F1766" s="301" t="s">
        <v>93</v>
      </c>
      <c r="G1766" s="820">
        <f>SUM(G1764:G1765)</f>
        <v>323.87</v>
      </c>
    </row>
    <row r="1767" spans="1:8" ht="15" customHeight="1">
      <c r="A1767" s="300" t="s">
        <v>95</v>
      </c>
      <c r="B1767" s="385">
        <f>G1766</f>
        <v>323.87</v>
      </c>
    </row>
    <row r="1768" spans="1:8" ht="15" customHeight="1">
      <c r="A1768" s="382" t="s">
        <v>2272</v>
      </c>
      <c r="B1768" s="381"/>
    </row>
    <row r="1769" spans="1:8" ht="15" customHeight="1">
      <c r="A1769" s="443" t="s">
        <v>2311</v>
      </c>
      <c r="B1769" s="381">
        <f>(B1767+B1768)*0.245</f>
        <v>79.348150000000004</v>
      </c>
    </row>
    <row r="1770" spans="1:8" ht="15" customHeight="1">
      <c r="A1770" s="300" t="s">
        <v>98</v>
      </c>
      <c r="B1770" s="386">
        <f>SUM(B1767:B1769)</f>
        <v>403.21815000000004</v>
      </c>
      <c r="H1770" s="394"/>
    </row>
    <row r="1771" spans="1:8" ht="11.25" customHeight="1">
      <c r="A1771" s="362"/>
      <c r="B1771" s="363"/>
      <c r="C1771" s="364"/>
      <c r="D1771" s="362"/>
      <c r="E1771" s="363"/>
      <c r="F1771" s="363"/>
      <c r="G1771" s="363"/>
      <c r="H1771" s="362"/>
    </row>
    <row r="1772" spans="1:8" ht="11.25" customHeight="1"/>
    <row r="1773" spans="1:8" ht="11.25" customHeight="1">
      <c r="A1773" s="122" t="s">
        <v>2779</v>
      </c>
    </row>
    <row r="1774" spans="1:8" ht="11.25" customHeight="1">
      <c r="A1774" s="879" t="s">
        <v>2906</v>
      </c>
      <c r="B1774" s="128">
        <v>97902</v>
      </c>
    </row>
    <row r="1775" spans="1:8" ht="24" customHeight="1">
      <c r="A1775" s="352" t="s">
        <v>1450</v>
      </c>
      <c r="B1775" s="1161" t="s">
        <v>2787</v>
      </c>
      <c r="C1775" s="1161"/>
      <c r="D1775" s="1161"/>
      <c r="E1775" s="494" t="s">
        <v>2713</v>
      </c>
      <c r="F1775" s="122"/>
      <c r="G1775" s="353"/>
    </row>
    <row r="1776" spans="1:8" ht="21" customHeight="1">
      <c r="A1776" s="804" t="s">
        <v>30</v>
      </c>
      <c r="B1776" s="354" t="s">
        <v>19</v>
      </c>
      <c r="C1776" s="293" t="s">
        <v>81</v>
      </c>
      <c r="D1776" s="803" t="s">
        <v>77</v>
      </c>
      <c r="E1776" s="803" t="s">
        <v>82</v>
      </c>
      <c r="F1776" s="862" t="s">
        <v>83</v>
      </c>
      <c r="G1776" s="355" t="s">
        <v>84</v>
      </c>
    </row>
    <row r="1777" spans="1:7" ht="15" customHeight="1">
      <c r="A1777" s="1141">
        <v>88316</v>
      </c>
      <c r="B1777" s="1151" t="s">
        <v>110</v>
      </c>
      <c r="C1777" s="293" t="s">
        <v>104</v>
      </c>
      <c r="D1777" s="1131" t="s">
        <v>383</v>
      </c>
      <c r="E1777" s="1149">
        <v>9.0894999999999992</v>
      </c>
      <c r="F1777" s="831">
        <v>11.18</v>
      </c>
      <c r="G1777" s="358">
        <f>TRUNC(E1777*F1777,2)</f>
        <v>101.62</v>
      </c>
    </row>
    <row r="1778" spans="1:7" ht="15" customHeight="1">
      <c r="A1778" s="1142"/>
      <c r="B1778" s="1152"/>
      <c r="C1778" s="293" t="s">
        <v>87</v>
      </c>
      <c r="D1778" s="1131"/>
      <c r="E1778" s="1150"/>
      <c r="F1778" s="831">
        <v>4.7300000000000004</v>
      </c>
      <c r="G1778" s="296">
        <f>TRUNC(E1777*F1778,2)</f>
        <v>42.99</v>
      </c>
    </row>
    <row r="1779" spans="1:7" ht="15" customHeight="1">
      <c r="A1779" s="1159" t="s">
        <v>1520</v>
      </c>
      <c r="B1779" s="1151" t="s">
        <v>118</v>
      </c>
      <c r="C1779" s="293" t="s">
        <v>104</v>
      </c>
      <c r="D1779" s="1155" t="s">
        <v>383</v>
      </c>
      <c r="E1779" s="1149">
        <v>9.0894999999999992</v>
      </c>
      <c r="F1779" s="831">
        <v>15.020000000000001</v>
      </c>
      <c r="G1779" s="312">
        <f>TRUNC(E1779*F1779,2)</f>
        <v>136.52000000000001</v>
      </c>
    </row>
    <row r="1780" spans="1:7" ht="15" customHeight="1">
      <c r="A1780" s="1160"/>
      <c r="B1780" s="1152"/>
      <c r="C1780" s="293" t="s">
        <v>87</v>
      </c>
      <c r="D1780" s="1156"/>
      <c r="E1780" s="1150"/>
      <c r="F1780" s="831">
        <v>4.79</v>
      </c>
      <c r="G1780" s="312">
        <f>TRUNC(E1779*F1780,2)</f>
        <v>43.53</v>
      </c>
    </row>
    <row r="1781" spans="1:7" ht="15" customHeight="1">
      <c r="A1781" s="1159">
        <v>5678</v>
      </c>
      <c r="B1781" s="1151" t="s">
        <v>2775</v>
      </c>
      <c r="C1781" s="293" t="s">
        <v>104</v>
      </c>
      <c r="D1781" s="1155" t="s">
        <v>383</v>
      </c>
      <c r="E1781" s="1179">
        <v>1.4500000000000001E-2</v>
      </c>
      <c r="F1781" s="831">
        <v>14.43</v>
      </c>
      <c r="G1781" s="312">
        <f>TRUNC(E1781*F1781,2)</f>
        <v>0.2</v>
      </c>
    </row>
    <row r="1782" spans="1:7" ht="30" customHeight="1">
      <c r="A1782" s="1160"/>
      <c r="B1782" s="1152"/>
      <c r="C1782" s="293" t="s">
        <v>87</v>
      </c>
      <c r="D1782" s="1156"/>
      <c r="E1782" s="1180"/>
      <c r="F1782" s="831">
        <v>67</v>
      </c>
      <c r="G1782" s="312">
        <f>TRUNC(E1781*F1782,2)</f>
        <v>0.97</v>
      </c>
    </row>
    <row r="1783" spans="1:7" ht="15" customHeight="1">
      <c r="A1783" s="1159">
        <v>5679</v>
      </c>
      <c r="B1783" s="1151" t="s">
        <v>2776</v>
      </c>
      <c r="C1783" s="293" t="s">
        <v>104</v>
      </c>
      <c r="D1783" s="1155" t="s">
        <v>383</v>
      </c>
      <c r="E1783" s="1179">
        <v>4.9000000000000002E-2</v>
      </c>
      <c r="F1783" s="831">
        <v>14.43</v>
      </c>
      <c r="G1783" s="312">
        <f>TRUNC(E1783*F1783,2)</f>
        <v>0.7</v>
      </c>
    </row>
    <row r="1784" spans="1:7" ht="30" customHeight="1">
      <c r="A1784" s="1160"/>
      <c r="B1784" s="1152"/>
      <c r="C1784" s="293" t="s">
        <v>87</v>
      </c>
      <c r="D1784" s="1156"/>
      <c r="E1784" s="1180"/>
      <c r="F1784" s="831">
        <v>20.149999999999999</v>
      </c>
      <c r="G1784" s="312">
        <f>TRUNC(E1783*F1784,2)</f>
        <v>0.98</v>
      </c>
    </row>
    <row r="1785" spans="1:7" ht="20.100000000000001" customHeight="1">
      <c r="A1785" s="1159">
        <v>87316</v>
      </c>
      <c r="B1785" s="1151" t="s">
        <v>2730</v>
      </c>
      <c r="C1785" s="293" t="s">
        <v>104</v>
      </c>
      <c r="D1785" s="1155" t="s">
        <v>1316</v>
      </c>
      <c r="E1785" s="1179">
        <v>2.33E-3</v>
      </c>
      <c r="F1785" s="831">
        <v>47.69</v>
      </c>
      <c r="G1785" s="312">
        <f>TRUNC(E1785*F1785,2)</f>
        <v>0.11</v>
      </c>
    </row>
    <row r="1786" spans="1:7" ht="20.100000000000001" customHeight="1">
      <c r="A1786" s="1160"/>
      <c r="B1786" s="1152"/>
      <c r="C1786" s="293" t="s">
        <v>87</v>
      </c>
      <c r="D1786" s="1156"/>
      <c r="E1786" s="1180"/>
      <c r="F1786" s="831">
        <v>257.14</v>
      </c>
      <c r="G1786" s="312">
        <f>TRUNC(E1785*F1786,2)</f>
        <v>0.59</v>
      </c>
    </row>
    <row r="1787" spans="1:7" ht="16.5" customHeight="1">
      <c r="A1787" s="1159" t="s">
        <v>2777</v>
      </c>
      <c r="B1787" s="1151" t="s">
        <v>2766</v>
      </c>
      <c r="C1787" s="293" t="s">
        <v>104</v>
      </c>
      <c r="D1787" s="1167" t="s">
        <v>1553</v>
      </c>
      <c r="E1787" s="1172">
        <v>0.81</v>
      </c>
      <c r="F1787" s="831">
        <v>2.27</v>
      </c>
      <c r="G1787" s="312">
        <f>TRUNC(E1787*F1787,2)</f>
        <v>1.83</v>
      </c>
    </row>
    <row r="1788" spans="1:7" ht="15" customHeight="1">
      <c r="A1788" s="1164"/>
      <c r="B1788" s="1152"/>
      <c r="C1788" s="293" t="s">
        <v>87</v>
      </c>
      <c r="D1788" s="1167"/>
      <c r="E1788" s="1172"/>
      <c r="F1788" s="831">
        <v>7.0000000000000007E-2</v>
      </c>
      <c r="G1788" s="312">
        <f>TRUNC(E1787*F1788,2)</f>
        <v>0.05</v>
      </c>
    </row>
    <row r="1789" spans="1:7" ht="20.100000000000001" customHeight="1">
      <c r="A1789" s="1168">
        <v>94970</v>
      </c>
      <c r="B1789" s="1151" t="s">
        <v>2767</v>
      </c>
      <c r="C1789" s="293" t="s">
        <v>104</v>
      </c>
      <c r="D1789" s="1167" t="s">
        <v>438</v>
      </c>
      <c r="E1789" s="1172">
        <v>0.124</v>
      </c>
      <c r="F1789" s="866">
        <v>44.72</v>
      </c>
      <c r="G1789" s="312">
        <f>TRUNC(E1789*F1789,2)</f>
        <v>5.54</v>
      </c>
    </row>
    <row r="1790" spans="1:7" ht="20.100000000000001" customHeight="1">
      <c r="A1790" s="1160"/>
      <c r="B1790" s="1152"/>
      <c r="C1790" s="293" t="s">
        <v>87</v>
      </c>
      <c r="D1790" s="1167"/>
      <c r="E1790" s="1172"/>
      <c r="F1790" s="866">
        <v>275.16000000000003</v>
      </c>
      <c r="G1790" s="312">
        <f>TRUNC(E1789*F1790,2)</f>
        <v>34.11</v>
      </c>
    </row>
    <row r="1791" spans="1:7" ht="20.100000000000001" customHeight="1">
      <c r="A1791" s="1159">
        <v>96920</v>
      </c>
      <c r="B1791" s="1151" t="s">
        <v>2768</v>
      </c>
      <c r="C1791" s="293" t="s">
        <v>104</v>
      </c>
      <c r="D1791" s="1155" t="s">
        <v>1316</v>
      </c>
      <c r="E1791" s="1179">
        <v>0.19259999999999999</v>
      </c>
      <c r="F1791" s="831">
        <v>49.98</v>
      </c>
      <c r="G1791" s="312">
        <f>TRUNC(E1791*F1791,2)</f>
        <v>9.6199999999999992</v>
      </c>
    </row>
    <row r="1792" spans="1:7" ht="20.100000000000001" customHeight="1">
      <c r="A1792" s="1160"/>
      <c r="B1792" s="1152"/>
      <c r="C1792" s="293" t="s">
        <v>87</v>
      </c>
      <c r="D1792" s="1156"/>
      <c r="E1792" s="1180"/>
      <c r="F1792" s="831">
        <v>365.82</v>
      </c>
      <c r="G1792" s="312">
        <f>TRUNC(E1791*F1792,2)</f>
        <v>70.45</v>
      </c>
    </row>
    <row r="1793" spans="1:8" ht="20.100000000000001" customHeight="1">
      <c r="A1793" s="1221">
        <v>97735</v>
      </c>
      <c r="B1793" s="1151" t="s">
        <v>2786</v>
      </c>
      <c r="C1793" s="293" t="s">
        <v>104</v>
      </c>
      <c r="D1793" s="1155" t="s">
        <v>1316</v>
      </c>
      <c r="E1793" s="1157">
        <v>7.46E-2</v>
      </c>
      <c r="F1793" s="831">
        <v>907.16</v>
      </c>
      <c r="G1793" s="312">
        <f>TRUNC(E1793*F1793,2)</f>
        <v>67.67</v>
      </c>
    </row>
    <row r="1794" spans="1:8" ht="17.25" customHeight="1">
      <c r="A1794" s="1222"/>
      <c r="B1794" s="1152"/>
      <c r="C1794" s="293" t="s">
        <v>87</v>
      </c>
      <c r="D1794" s="1156"/>
      <c r="E1794" s="1158"/>
      <c r="F1794" s="831">
        <v>826.78</v>
      </c>
      <c r="G1794" s="312">
        <f>TRUNC(E1793*F1794,2)</f>
        <v>61.67</v>
      </c>
    </row>
    <row r="1795" spans="1:8" ht="20.100000000000001" customHeight="1">
      <c r="A1795" s="348" t="s">
        <v>2772</v>
      </c>
      <c r="B1795" s="880" t="s">
        <v>2302</v>
      </c>
      <c r="C1795" s="293" t="s">
        <v>87</v>
      </c>
      <c r="D1795" s="909" t="s">
        <v>381</v>
      </c>
      <c r="E1795" s="966">
        <v>288</v>
      </c>
      <c r="F1795" s="831">
        <v>0.37</v>
      </c>
      <c r="G1795" s="312">
        <f>TRUNC(E1795*F1795,2)</f>
        <v>106.56</v>
      </c>
    </row>
    <row r="1796" spans="1:8" ht="15" customHeight="1">
      <c r="A1796" s="865"/>
      <c r="F1796" s="360" t="s">
        <v>90</v>
      </c>
      <c r="G1796" s="322">
        <f>G1777+G1779+G1785+G1787+G1789+G1791+G1793</f>
        <v>322.91000000000003</v>
      </c>
    </row>
    <row r="1797" spans="1:8" ht="15" customHeight="1">
      <c r="F1797" s="301" t="s">
        <v>92</v>
      </c>
      <c r="G1797" s="312">
        <f>G1778+G1780+G1786+G1788+G1790+G1792+G1794+G1795</f>
        <v>359.95000000000005</v>
      </c>
    </row>
    <row r="1798" spans="1:8" ht="15" customHeight="1">
      <c r="A1798" s="122" t="s">
        <v>94</v>
      </c>
      <c r="F1798" s="301" t="s">
        <v>93</v>
      </c>
      <c r="G1798" s="820">
        <f>SUM(G1796:G1797)</f>
        <v>682.86000000000013</v>
      </c>
    </row>
    <row r="1799" spans="1:8" ht="15" customHeight="1">
      <c r="A1799" s="300" t="s">
        <v>95</v>
      </c>
      <c r="B1799" s="385">
        <f>G1798</f>
        <v>682.86000000000013</v>
      </c>
    </row>
    <row r="1800" spans="1:8" ht="15" customHeight="1">
      <c r="A1800" s="382" t="s">
        <v>2272</v>
      </c>
      <c r="B1800" s="381"/>
    </row>
    <row r="1801" spans="1:8" ht="15" customHeight="1">
      <c r="A1801" s="443" t="s">
        <v>2311</v>
      </c>
      <c r="B1801" s="381">
        <f>(B1799+B1800)*0.245</f>
        <v>167.30070000000003</v>
      </c>
    </row>
    <row r="1802" spans="1:8" ht="15" customHeight="1">
      <c r="A1802" s="300" t="s">
        <v>98</v>
      </c>
      <c r="B1802" s="386">
        <f>SUM(B1799:B1801)</f>
        <v>850.16070000000013</v>
      </c>
      <c r="H1802" s="394"/>
    </row>
    <row r="1803" spans="1:8" ht="11.25" customHeight="1">
      <c r="A1803" s="362"/>
      <c r="B1803" s="363"/>
      <c r="C1803" s="364"/>
      <c r="D1803" s="362"/>
      <c r="E1803" s="363"/>
      <c r="F1803" s="363"/>
      <c r="G1803" s="363"/>
      <c r="H1803" s="362"/>
    </row>
    <row r="1804" spans="1:8" ht="11.25" customHeight="1"/>
    <row r="1805" spans="1:8" ht="11.25" customHeight="1">
      <c r="A1805" s="122" t="s">
        <v>2779</v>
      </c>
    </row>
    <row r="1806" spans="1:8" ht="11.25" customHeight="1">
      <c r="A1806" s="879" t="s">
        <v>2907</v>
      </c>
      <c r="B1806" s="128">
        <v>97903</v>
      </c>
    </row>
    <row r="1807" spans="1:8" ht="24" customHeight="1">
      <c r="A1807" s="352" t="s">
        <v>1450</v>
      </c>
      <c r="B1807" s="1161" t="s">
        <v>2788</v>
      </c>
      <c r="C1807" s="1161"/>
      <c r="D1807" s="1161"/>
      <c r="E1807" s="494" t="s">
        <v>2713</v>
      </c>
      <c r="F1807" s="122"/>
      <c r="G1807" s="353"/>
    </row>
    <row r="1808" spans="1:8" ht="21" customHeight="1">
      <c r="A1808" s="804" t="s">
        <v>30</v>
      </c>
      <c r="B1808" s="354" t="s">
        <v>19</v>
      </c>
      <c r="C1808" s="293" t="s">
        <v>81</v>
      </c>
      <c r="D1808" s="803" t="s">
        <v>77</v>
      </c>
      <c r="E1808" s="803" t="s">
        <v>82</v>
      </c>
      <c r="F1808" s="862" t="s">
        <v>83</v>
      </c>
      <c r="G1808" s="355" t="s">
        <v>84</v>
      </c>
    </row>
    <row r="1809" spans="1:9" ht="15" customHeight="1">
      <c r="A1809" s="1141">
        <v>88316</v>
      </c>
      <c r="B1809" s="1151" t="s">
        <v>110</v>
      </c>
      <c r="C1809" s="293" t="s">
        <v>104</v>
      </c>
      <c r="D1809" s="1131" t="s">
        <v>383</v>
      </c>
      <c r="E1809" s="1179">
        <v>8.1328999999999994</v>
      </c>
      <c r="F1809" s="831">
        <v>11.18</v>
      </c>
      <c r="G1809" s="358">
        <f>TRUNC(E1809*F1809,2)</f>
        <v>90.92</v>
      </c>
    </row>
    <row r="1810" spans="1:9" ht="15" customHeight="1">
      <c r="A1810" s="1142"/>
      <c r="B1810" s="1152"/>
      <c r="C1810" s="293" t="s">
        <v>87</v>
      </c>
      <c r="D1810" s="1131"/>
      <c r="E1810" s="1180"/>
      <c r="F1810" s="831">
        <v>4.7300000000000004</v>
      </c>
      <c r="G1810" s="296">
        <f>TRUNC(E1809*F1810,2)</f>
        <v>38.46</v>
      </c>
    </row>
    <row r="1811" spans="1:9" ht="15" customHeight="1">
      <c r="A1811" s="1159" t="s">
        <v>1520</v>
      </c>
      <c r="B1811" s="1151" t="s">
        <v>118</v>
      </c>
      <c r="C1811" s="293" t="s">
        <v>104</v>
      </c>
      <c r="D1811" s="1155" t="s">
        <v>383</v>
      </c>
      <c r="E1811" s="1179">
        <v>8.1328999999999994</v>
      </c>
      <c r="F1811" s="831">
        <v>15.020000000000001</v>
      </c>
      <c r="G1811" s="312">
        <f>TRUNC(E1811*F1811,2)</f>
        <v>122.15</v>
      </c>
    </row>
    <row r="1812" spans="1:9" ht="15" customHeight="1">
      <c r="A1812" s="1160"/>
      <c r="B1812" s="1152"/>
      <c r="C1812" s="293" t="s">
        <v>87</v>
      </c>
      <c r="D1812" s="1156"/>
      <c r="E1812" s="1180"/>
      <c r="F1812" s="831">
        <v>4.79</v>
      </c>
      <c r="G1812" s="312">
        <f>TRUNC(E1811*F1812,2)</f>
        <v>38.950000000000003</v>
      </c>
    </row>
    <row r="1813" spans="1:9" ht="15" customHeight="1">
      <c r="A1813" s="1159">
        <v>5678</v>
      </c>
      <c r="B1813" s="1151" t="s">
        <v>2775</v>
      </c>
      <c r="C1813" s="293" t="s">
        <v>104</v>
      </c>
      <c r="D1813" s="1155" t="s">
        <v>383</v>
      </c>
      <c r="E1813" s="1179">
        <v>6.3200000000000001E-3</v>
      </c>
      <c r="F1813" s="831">
        <v>14.43</v>
      </c>
      <c r="G1813" s="312">
        <f>TRUNC(E1813*F1813,2)</f>
        <v>0.09</v>
      </c>
    </row>
    <row r="1814" spans="1:9" ht="30" customHeight="1">
      <c r="A1814" s="1160"/>
      <c r="B1814" s="1152"/>
      <c r="C1814" s="293" t="s">
        <v>87</v>
      </c>
      <c r="D1814" s="1156"/>
      <c r="E1814" s="1180"/>
      <c r="F1814" s="831">
        <v>67</v>
      </c>
      <c r="G1814" s="312">
        <f>TRUNC(E1813*F1814,2)</f>
        <v>0.42</v>
      </c>
    </row>
    <row r="1815" spans="1:9" ht="15" customHeight="1">
      <c r="A1815" s="1159">
        <v>5679</v>
      </c>
      <c r="B1815" s="1151" t="s">
        <v>2776</v>
      </c>
      <c r="C1815" s="293" t="s">
        <v>104</v>
      </c>
      <c r="D1815" s="1155" t="s">
        <v>383</v>
      </c>
      <c r="E1815" s="1179">
        <v>2.1100000000000001E-2</v>
      </c>
      <c r="F1815" s="831">
        <v>14.43</v>
      </c>
      <c r="G1815" s="312">
        <f>TRUNC(E1815*F1815,2)</f>
        <v>0.3</v>
      </c>
    </row>
    <row r="1816" spans="1:9" ht="30" customHeight="1">
      <c r="A1816" s="1160"/>
      <c r="B1816" s="1152"/>
      <c r="C1816" s="293" t="s">
        <v>87</v>
      </c>
      <c r="D1816" s="1156"/>
      <c r="E1816" s="1180"/>
      <c r="F1816" s="831">
        <v>20.149999999999999</v>
      </c>
      <c r="G1816" s="312">
        <f>TRUNC(E1815*F1816,2)</f>
        <v>0.42</v>
      </c>
    </row>
    <row r="1817" spans="1:9" ht="20.100000000000001" customHeight="1">
      <c r="A1817" s="1159">
        <v>87316</v>
      </c>
      <c r="B1817" s="1151" t="s">
        <v>2730</v>
      </c>
      <c r="C1817" s="293" t="s">
        <v>104</v>
      </c>
      <c r="D1817" s="1155" t="s">
        <v>1316</v>
      </c>
      <c r="E1817" s="1179">
        <v>7.92E-3</v>
      </c>
      <c r="F1817" s="831">
        <v>47.69</v>
      </c>
      <c r="G1817" s="312">
        <f>TRUNC(E1817*F1817,2)</f>
        <v>0.37</v>
      </c>
    </row>
    <row r="1818" spans="1:9" ht="20.100000000000001" customHeight="1">
      <c r="A1818" s="1160"/>
      <c r="B1818" s="1152"/>
      <c r="C1818" s="293" t="s">
        <v>87</v>
      </c>
      <c r="D1818" s="1156"/>
      <c r="E1818" s="1180"/>
      <c r="F1818" s="831">
        <v>257.14</v>
      </c>
      <c r="G1818" s="312">
        <f>TRUNC(E1817*F1818,2)</f>
        <v>2.0299999999999998</v>
      </c>
    </row>
    <row r="1819" spans="1:9" ht="16.5" customHeight="1">
      <c r="A1819" s="1159" t="s">
        <v>2777</v>
      </c>
      <c r="B1819" s="1151" t="s">
        <v>2766</v>
      </c>
      <c r="C1819" s="293" t="s">
        <v>104</v>
      </c>
      <c r="D1819" s="1167" t="s">
        <v>1553</v>
      </c>
      <c r="E1819" s="1172">
        <v>0.7</v>
      </c>
      <c r="F1819" s="831">
        <v>2.27</v>
      </c>
      <c r="G1819" s="312">
        <f>TRUNC(E1819*F1819,2)</f>
        <v>1.58</v>
      </c>
    </row>
    <row r="1820" spans="1:9" ht="15" customHeight="1">
      <c r="A1820" s="1164"/>
      <c r="B1820" s="1152"/>
      <c r="C1820" s="293" t="s">
        <v>87</v>
      </c>
      <c r="D1820" s="1167"/>
      <c r="E1820" s="1172"/>
      <c r="F1820" s="831">
        <v>7.0000000000000007E-2</v>
      </c>
      <c r="G1820" s="312">
        <f>TRUNC(E1819*F1820,2)</f>
        <v>0.04</v>
      </c>
    </row>
    <row r="1821" spans="1:9" ht="20.100000000000001" customHeight="1">
      <c r="A1821" s="1168">
        <v>94970</v>
      </c>
      <c r="B1821" s="1151" t="s">
        <v>2767</v>
      </c>
      <c r="C1821" s="293" t="s">
        <v>104</v>
      </c>
      <c r="D1821" s="1167" t="s">
        <v>438</v>
      </c>
      <c r="E1821" s="1179">
        <v>5.4059999999999997E-2</v>
      </c>
      <c r="F1821" s="866">
        <v>44.72</v>
      </c>
      <c r="G1821" s="312">
        <f>TRUNC(E1821*F1821,2)</f>
        <v>2.41</v>
      </c>
    </row>
    <row r="1822" spans="1:9" ht="20.100000000000001" customHeight="1">
      <c r="A1822" s="1160"/>
      <c r="B1822" s="1152"/>
      <c r="C1822" s="293" t="s">
        <v>87</v>
      </c>
      <c r="D1822" s="1167"/>
      <c r="E1822" s="1180"/>
      <c r="F1822" s="866">
        <v>275.16000000000003</v>
      </c>
      <c r="G1822" s="312">
        <f>TRUNC(E1821*F1822,2)</f>
        <v>14.87</v>
      </c>
      <c r="I1822" s="122" t="s">
        <v>2773</v>
      </c>
    </row>
    <row r="1823" spans="1:9" ht="20.100000000000001" customHeight="1">
      <c r="A1823" s="1159">
        <v>96920</v>
      </c>
      <c r="B1823" s="1151" t="s">
        <v>2768</v>
      </c>
      <c r="C1823" s="293" t="s">
        <v>104</v>
      </c>
      <c r="D1823" s="1155" t="s">
        <v>1316</v>
      </c>
      <c r="E1823" s="1179">
        <v>7.3599999999999999E-2</v>
      </c>
      <c r="F1823" s="831">
        <v>49.98</v>
      </c>
      <c r="G1823" s="312">
        <f>TRUNC(E1823*F1823,2)</f>
        <v>3.67</v>
      </c>
    </row>
    <row r="1824" spans="1:9" ht="20.100000000000001" customHeight="1">
      <c r="A1824" s="1160"/>
      <c r="B1824" s="1152"/>
      <c r="C1824" s="293" t="s">
        <v>87</v>
      </c>
      <c r="D1824" s="1156"/>
      <c r="E1824" s="1180"/>
      <c r="F1824" s="831">
        <v>365.82</v>
      </c>
      <c r="G1824" s="312">
        <f>TRUNC(E1823*F1824,2)</f>
        <v>26.92</v>
      </c>
    </row>
    <row r="1825" spans="1:8" ht="20.100000000000001" customHeight="1">
      <c r="A1825" s="1221">
        <v>97735</v>
      </c>
      <c r="B1825" s="1151" t="s">
        <v>2786</v>
      </c>
      <c r="C1825" s="293" t="s">
        <v>104</v>
      </c>
      <c r="D1825" s="1155" t="s">
        <v>1316</v>
      </c>
      <c r="E1825" s="1157">
        <v>3.2500000000000001E-2</v>
      </c>
      <c r="F1825" s="831">
        <v>907.16</v>
      </c>
      <c r="G1825" s="312">
        <f>TRUNC(E1825*F1825,2)</f>
        <v>29.48</v>
      </c>
    </row>
    <row r="1826" spans="1:8" ht="20.100000000000001" customHeight="1">
      <c r="A1826" s="1222"/>
      <c r="B1826" s="1152"/>
      <c r="C1826" s="293" t="s">
        <v>87</v>
      </c>
      <c r="D1826" s="1156"/>
      <c r="E1826" s="1158"/>
      <c r="F1826" s="831">
        <v>826.78</v>
      </c>
      <c r="G1826" s="312">
        <f>TRUNC(E1825*F1826,2)</f>
        <v>26.87</v>
      </c>
    </row>
    <row r="1827" spans="1:8" ht="20.100000000000001" customHeight="1">
      <c r="A1827" s="348" t="s">
        <v>2772</v>
      </c>
      <c r="B1827" s="880" t="s">
        <v>2302</v>
      </c>
      <c r="C1827" s="293" t="s">
        <v>87</v>
      </c>
      <c r="D1827" s="909" t="s">
        <v>381</v>
      </c>
      <c r="E1827" s="966">
        <v>204</v>
      </c>
      <c r="F1827" s="831">
        <v>0.37</v>
      </c>
      <c r="G1827" s="312">
        <f>TRUNC(E1827*F1827,2)</f>
        <v>75.48</v>
      </c>
    </row>
    <row r="1828" spans="1:8" ht="15" customHeight="1">
      <c r="A1828" s="865"/>
      <c r="F1828" s="360" t="s">
        <v>90</v>
      </c>
      <c r="G1828" s="322">
        <f>G1809+G1811+G1817+G1819+G1821+G1823+G1825</f>
        <v>250.57999999999998</v>
      </c>
    </row>
    <row r="1829" spans="1:8" ht="15" customHeight="1">
      <c r="F1829" s="301" t="s">
        <v>92</v>
      </c>
      <c r="G1829" s="312">
        <f>G1810+G1812+G1818+G1820+G1822+G1824+G1826+G1827</f>
        <v>223.62</v>
      </c>
    </row>
    <row r="1830" spans="1:8" ht="15" customHeight="1">
      <c r="A1830" s="122" t="s">
        <v>94</v>
      </c>
      <c r="F1830" s="301" t="s">
        <v>93</v>
      </c>
      <c r="G1830" s="820">
        <f>SUM(G1828:G1829)</f>
        <v>474.2</v>
      </c>
    </row>
    <row r="1831" spans="1:8" ht="15" customHeight="1">
      <c r="A1831" s="300" t="s">
        <v>95</v>
      </c>
      <c r="B1831" s="385">
        <f>G1830</f>
        <v>474.2</v>
      </c>
    </row>
    <row r="1832" spans="1:8" ht="15" customHeight="1">
      <c r="A1832" s="382" t="s">
        <v>2272</v>
      </c>
      <c r="B1832" s="381"/>
    </row>
    <row r="1833" spans="1:8" ht="15" customHeight="1">
      <c r="A1833" s="443" t="s">
        <v>2311</v>
      </c>
      <c r="B1833" s="381">
        <f>(B1831+B1832)*0.245</f>
        <v>116.179</v>
      </c>
    </row>
    <row r="1834" spans="1:8" ht="15" customHeight="1">
      <c r="A1834" s="300" t="s">
        <v>98</v>
      </c>
      <c r="B1834" s="386">
        <f>SUM(B1831:B1833)</f>
        <v>590.37900000000002</v>
      </c>
      <c r="H1834" s="394"/>
    </row>
    <row r="1835" spans="1:8" ht="11.25" customHeight="1">
      <c r="A1835" s="362"/>
      <c r="B1835" s="363"/>
      <c r="C1835" s="364"/>
      <c r="D1835" s="362"/>
      <c r="E1835" s="363"/>
      <c r="F1835" s="363"/>
      <c r="G1835" s="363"/>
      <c r="H1835" s="362"/>
    </row>
    <row r="1836" spans="1:8" ht="11.25" customHeight="1"/>
    <row r="1837" spans="1:8" ht="11.25" customHeight="1">
      <c r="A1837" s="122" t="s">
        <v>2779</v>
      </c>
    </row>
    <row r="1838" spans="1:8" ht="11.25" customHeight="1">
      <c r="A1838" s="879" t="s">
        <v>3056</v>
      </c>
      <c r="B1838" s="128">
        <v>97904</v>
      </c>
    </row>
    <row r="1839" spans="1:8" ht="20.25" customHeight="1">
      <c r="A1839" s="352" t="s">
        <v>1450</v>
      </c>
      <c r="B1839" s="1161" t="s">
        <v>2789</v>
      </c>
      <c r="C1839" s="1161"/>
      <c r="D1839" s="1161"/>
      <c r="E1839" s="494" t="s">
        <v>2713</v>
      </c>
      <c r="F1839" s="122"/>
      <c r="G1839" s="353"/>
    </row>
    <row r="1840" spans="1:8" ht="21" customHeight="1">
      <c r="A1840" s="804" t="s">
        <v>30</v>
      </c>
      <c r="B1840" s="354" t="s">
        <v>19</v>
      </c>
      <c r="C1840" s="293" t="s">
        <v>81</v>
      </c>
      <c r="D1840" s="803" t="s">
        <v>77</v>
      </c>
      <c r="E1840" s="803" t="s">
        <v>82</v>
      </c>
      <c r="F1840" s="862" t="s">
        <v>83</v>
      </c>
      <c r="G1840" s="355" t="s">
        <v>84</v>
      </c>
    </row>
    <row r="1841" spans="1:9" ht="15" customHeight="1">
      <c r="A1841" s="1141">
        <v>88316</v>
      </c>
      <c r="B1841" s="1151" t="s">
        <v>110</v>
      </c>
      <c r="C1841" s="970" t="s">
        <v>104</v>
      </c>
      <c r="D1841" s="1270" t="s">
        <v>383</v>
      </c>
      <c r="E1841" s="1149">
        <v>30.23</v>
      </c>
      <c r="F1841" s="831">
        <v>11.18</v>
      </c>
      <c r="G1841" s="358">
        <f>TRUNC(E1841*F1841,2)</f>
        <v>337.97</v>
      </c>
    </row>
    <row r="1842" spans="1:9" ht="15" customHeight="1">
      <c r="A1842" s="1142"/>
      <c r="B1842" s="1152"/>
      <c r="C1842" s="970" t="s">
        <v>87</v>
      </c>
      <c r="D1842" s="1270"/>
      <c r="E1842" s="1150"/>
      <c r="F1842" s="831">
        <v>4.7300000000000004</v>
      </c>
      <c r="G1842" s="296">
        <f>TRUNC(E1841*F1842,2)</f>
        <v>142.97999999999999</v>
      </c>
    </row>
    <row r="1843" spans="1:9" ht="15" customHeight="1">
      <c r="A1843" s="1159" t="s">
        <v>1520</v>
      </c>
      <c r="B1843" s="1151" t="s">
        <v>118</v>
      </c>
      <c r="C1843" s="970" t="s">
        <v>104</v>
      </c>
      <c r="D1843" s="1271" t="s">
        <v>383</v>
      </c>
      <c r="E1843" s="1149">
        <v>30.23</v>
      </c>
      <c r="F1843" s="831">
        <v>15.020000000000001</v>
      </c>
      <c r="G1843" s="312">
        <f>TRUNC(E1843*F1843,2)</f>
        <v>454.05</v>
      </c>
    </row>
    <row r="1844" spans="1:9" ht="15" customHeight="1">
      <c r="A1844" s="1160"/>
      <c r="B1844" s="1152"/>
      <c r="C1844" s="970" t="s">
        <v>87</v>
      </c>
      <c r="D1844" s="1272"/>
      <c r="E1844" s="1150"/>
      <c r="F1844" s="831">
        <v>4.79</v>
      </c>
      <c r="G1844" s="312">
        <f>TRUNC(E1843*F1844,2)</f>
        <v>144.80000000000001</v>
      </c>
    </row>
    <row r="1845" spans="1:9" ht="15" customHeight="1">
      <c r="A1845" s="1159">
        <v>5678</v>
      </c>
      <c r="B1845" s="1151" t="s">
        <v>2775</v>
      </c>
      <c r="C1845" s="970" t="s">
        <v>104</v>
      </c>
      <c r="D1845" s="1271" t="s">
        <v>383</v>
      </c>
      <c r="E1845" s="1179">
        <v>5.91E-2</v>
      </c>
      <c r="F1845" s="831">
        <v>14.43</v>
      </c>
      <c r="G1845" s="312">
        <f>TRUNC(E1845*F1845,2)</f>
        <v>0.85</v>
      </c>
    </row>
    <row r="1846" spans="1:9" ht="30" customHeight="1">
      <c r="A1846" s="1160"/>
      <c r="B1846" s="1152"/>
      <c r="C1846" s="970" t="s">
        <v>87</v>
      </c>
      <c r="D1846" s="1272"/>
      <c r="E1846" s="1180"/>
      <c r="F1846" s="831">
        <v>67</v>
      </c>
      <c r="G1846" s="312">
        <f>TRUNC(E1845*F1846,2)</f>
        <v>3.95</v>
      </c>
    </row>
    <row r="1847" spans="1:9" ht="15" customHeight="1">
      <c r="A1847" s="1159">
        <v>5679</v>
      </c>
      <c r="B1847" s="1151" t="s">
        <v>2776</v>
      </c>
      <c r="C1847" s="970" t="s">
        <v>104</v>
      </c>
      <c r="D1847" s="1271" t="s">
        <v>383</v>
      </c>
      <c r="E1847" s="1179">
        <v>0.19919999999999999</v>
      </c>
      <c r="F1847" s="831">
        <v>14.43</v>
      </c>
      <c r="G1847" s="312">
        <f>TRUNC(E1847*F1847,2)</f>
        <v>2.87</v>
      </c>
    </row>
    <row r="1848" spans="1:9" ht="30" customHeight="1">
      <c r="A1848" s="1160"/>
      <c r="B1848" s="1152"/>
      <c r="C1848" s="970" t="s">
        <v>87</v>
      </c>
      <c r="D1848" s="1272"/>
      <c r="E1848" s="1180"/>
      <c r="F1848" s="831">
        <v>20.149999999999999</v>
      </c>
      <c r="G1848" s="312">
        <f>TRUNC(E1847*F1848,2)</f>
        <v>4.01</v>
      </c>
    </row>
    <row r="1849" spans="1:9" ht="20.100000000000001" customHeight="1">
      <c r="A1849" s="1159">
        <v>87316</v>
      </c>
      <c r="B1849" s="1151" t="s">
        <v>2730</v>
      </c>
      <c r="C1849" s="970" t="s">
        <v>104</v>
      </c>
      <c r="D1849" s="1271" t="s">
        <v>1316</v>
      </c>
      <c r="E1849" s="1157">
        <v>6.3E-3</v>
      </c>
      <c r="F1849" s="831">
        <v>47.69</v>
      </c>
      <c r="G1849" s="312">
        <f>TRUNC(E1849*F1849,2)</f>
        <v>0.3</v>
      </c>
    </row>
    <row r="1850" spans="1:9" ht="20.100000000000001" customHeight="1">
      <c r="A1850" s="1160"/>
      <c r="B1850" s="1152"/>
      <c r="C1850" s="970" t="s">
        <v>87</v>
      </c>
      <c r="D1850" s="1272"/>
      <c r="E1850" s="1158"/>
      <c r="F1850" s="831">
        <v>257.14</v>
      </c>
      <c r="G1850" s="312">
        <f>TRUNC(E1849*F1850,2)</f>
        <v>1.61</v>
      </c>
    </row>
    <row r="1851" spans="1:9" ht="16.5" customHeight="1">
      <c r="A1851" s="1159" t="s">
        <v>2777</v>
      </c>
      <c r="B1851" s="1151" t="s">
        <v>2766</v>
      </c>
      <c r="C1851" s="970" t="s">
        <v>104</v>
      </c>
      <c r="D1851" s="1273" t="s">
        <v>1553</v>
      </c>
      <c r="E1851" s="1172">
        <v>3.24</v>
      </c>
      <c r="F1851" s="831">
        <v>2.27</v>
      </c>
      <c r="G1851" s="312">
        <f>TRUNC(E1851*F1851,2)</f>
        <v>7.35</v>
      </c>
    </row>
    <row r="1852" spans="1:9" ht="15" customHeight="1">
      <c r="A1852" s="1164"/>
      <c r="B1852" s="1152"/>
      <c r="C1852" s="970" t="s">
        <v>87</v>
      </c>
      <c r="D1852" s="1273"/>
      <c r="E1852" s="1172"/>
      <c r="F1852" s="831">
        <v>7.0000000000000007E-2</v>
      </c>
      <c r="G1852" s="312">
        <f>TRUNC(E1851*F1852,2)</f>
        <v>0.22</v>
      </c>
    </row>
    <row r="1853" spans="1:9" ht="20.100000000000001" customHeight="1">
      <c r="A1853" s="1168">
        <v>94970</v>
      </c>
      <c r="B1853" s="1151" t="s">
        <v>2767</v>
      </c>
      <c r="C1853" s="970" t="s">
        <v>104</v>
      </c>
      <c r="D1853" s="1273" t="s">
        <v>438</v>
      </c>
      <c r="E1853" s="1172">
        <v>0.50249999999999995</v>
      </c>
      <c r="F1853" s="866">
        <v>44.72</v>
      </c>
      <c r="G1853" s="312">
        <f>TRUNC(E1853*F1853,2)</f>
        <v>22.47</v>
      </c>
    </row>
    <row r="1854" spans="1:9" ht="20.100000000000001" customHeight="1">
      <c r="A1854" s="1160"/>
      <c r="B1854" s="1152"/>
      <c r="C1854" s="970" t="s">
        <v>87</v>
      </c>
      <c r="D1854" s="1273"/>
      <c r="E1854" s="1172"/>
      <c r="F1854" s="866">
        <v>275.16000000000003</v>
      </c>
      <c r="G1854" s="312">
        <f>TRUNC(E1853*F1854,2)</f>
        <v>138.26</v>
      </c>
      <c r="I1854" s="122" t="s">
        <v>2773</v>
      </c>
    </row>
    <row r="1855" spans="1:9" ht="20.100000000000001" customHeight="1">
      <c r="A1855" s="1159">
        <v>96920</v>
      </c>
      <c r="B1855" s="1151" t="s">
        <v>2768</v>
      </c>
      <c r="C1855" s="970" t="s">
        <v>104</v>
      </c>
      <c r="D1855" s="1271" t="s">
        <v>1316</v>
      </c>
      <c r="E1855" s="1157">
        <v>0.61499999999999999</v>
      </c>
      <c r="F1855" s="831">
        <v>49.98</v>
      </c>
      <c r="G1855" s="312">
        <f>TRUNC(E1855*F1855,2)</f>
        <v>30.73</v>
      </c>
    </row>
    <row r="1856" spans="1:9" ht="20.100000000000001" customHeight="1">
      <c r="A1856" s="1160"/>
      <c r="B1856" s="1152"/>
      <c r="C1856" s="970" t="s">
        <v>87</v>
      </c>
      <c r="D1856" s="1272"/>
      <c r="E1856" s="1158"/>
      <c r="F1856" s="831">
        <v>365.82</v>
      </c>
      <c r="G1856" s="312">
        <f>TRUNC(E1855*F1856,2)</f>
        <v>224.97</v>
      </c>
    </row>
    <row r="1857" spans="1:8" ht="20.100000000000001" customHeight="1">
      <c r="A1857" s="1221">
        <v>97736</v>
      </c>
      <c r="B1857" s="1151" t="s">
        <v>2778</v>
      </c>
      <c r="C1857" s="970" t="s">
        <v>104</v>
      </c>
      <c r="D1857" s="1271" t="s">
        <v>1316</v>
      </c>
      <c r="E1857" s="1157">
        <v>0.3024</v>
      </c>
      <c r="F1857" s="831">
        <v>907.16</v>
      </c>
      <c r="G1857" s="312">
        <f>TRUNC(E1857*F1857,2)</f>
        <v>274.32</v>
      </c>
    </row>
    <row r="1858" spans="1:8" ht="20.100000000000001" customHeight="1">
      <c r="A1858" s="1222"/>
      <c r="B1858" s="1152"/>
      <c r="C1858" s="970" t="s">
        <v>87</v>
      </c>
      <c r="D1858" s="1272"/>
      <c r="E1858" s="1158"/>
      <c r="F1858" s="831">
        <v>826.78</v>
      </c>
      <c r="G1858" s="312">
        <f>TRUNC(E1857*F1858,2)</f>
        <v>250.01</v>
      </c>
    </row>
    <row r="1859" spans="1:8" ht="20.100000000000001" customHeight="1">
      <c r="A1859" s="348" t="s">
        <v>2772</v>
      </c>
      <c r="B1859" s="880" t="s">
        <v>2302</v>
      </c>
      <c r="C1859" s="970" t="s">
        <v>87</v>
      </c>
      <c r="D1859" s="971" t="s">
        <v>381</v>
      </c>
      <c r="E1859" s="966">
        <v>367.2</v>
      </c>
      <c r="F1859" s="831">
        <v>0.37</v>
      </c>
      <c r="G1859" s="312">
        <f>TRUNC(E1859*F1859,2)</f>
        <v>135.86000000000001</v>
      </c>
    </row>
    <row r="1860" spans="1:8" ht="15" customHeight="1">
      <c r="A1860" s="865"/>
      <c r="F1860" s="360" t="s">
        <v>90</v>
      </c>
      <c r="G1860" s="322">
        <f>G1841+G1843+G1849+G1851+G1853+G1855+G1857</f>
        <v>1127.19</v>
      </c>
    </row>
    <row r="1861" spans="1:8" ht="15" customHeight="1">
      <c r="F1861" s="301" t="s">
        <v>92</v>
      </c>
      <c r="G1861" s="312">
        <f>G1842+G1844+G1850+G1852+G1854+G1856+G1858+G1859</f>
        <v>1038.71</v>
      </c>
    </row>
    <row r="1862" spans="1:8" ht="15" customHeight="1">
      <c r="A1862" s="122" t="s">
        <v>94</v>
      </c>
      <c r="F1862" s="301" t="s">
        <v>93</v>
      </c>
      <c r="G1862" s="820">
        <f>SUM(G1860:G1861)</f>
        <v>2165.9</v>
      </c>
    </row>
    <row r="1863" spans="1:8" ht="15" customHeight="1">
      <c r="A1863" s="300" t="s">
        <v>95</v>
      </c>
      <c r="B1863" s="385">
        <f>G1862</f>
        <v>2165.9</v>
      </c>
    </row>
    <row r="1864" spans="1:8" ht="15" customHeight="1">
      <c r="A1864" s="382" t="s">
        <v>2272</v>
      </c>
      <c r="B1864" s="381"/>
    </row>
    <row r="1865" spans="1:8" ht="15" customHeight="1">
      <c r="A1865" s="443" t="s">
        <v>2311</v>
      </c>
      <c r="B1865" s="381">
        <f>(B1863+B1864)*0.245</f>
        <v>530.64549999999997</v>
      </c>
    </row>
    <row r="1866" spans="1:8" ht="15" customHeight="1">
      <c r="A1866" s="300" t="s">
        <v>98</v>
      </c>
      <c r="B1866" s="386">
        <f>SUM(B1863:B1865)</f>
        <v>2696.5455000000002</v>
      </c>
      <c r="H1866" s="394"/>
    </row>
    <row r="1867" spans="1:8" ht="11.25" customHeight="1">
      <c r="A1867" s="362"/>
      <c r="B1867" s="363"/>
      <c r="C1867" s="364"/>
      <c r="D1867" s="362"/>
      <c r="E1867" s="363"/>
      <c r="F1867" s="363"/>
      <c r="G1867" s="363"/>
      <c r="H1867" s="362"/>
    </row>
    <row r="1868" spans="1:8" ht="11.25" customHeight="1"/>
    <row r="1869" spans="1:8" ht="11.25" customHeight="1">
      <c r="A1869" s="122" t="s">
        <v>1194</v>
      </c>
    </row>
    <row r="1870" spans="1:8" ht="11.25" customHeight="1">
      <c r="A1870" s="148" t="s">
        <v>2224</v>
      </c>
    </row>
    <row r="1871" spans="1:8" ht="24" customHeight="1">
      <c r="A1871" s="352" t="s">
        <v>1450</v>
      </c>
      <c r="B1871" s="1161" t="s">
        <v>2225</v>
      </c>
      <c r="C1871" s="1161"/>
      <c r="D1871" s="1161"/>
      <c r="E1871" s="494" t="s">
        <v>1487</v>
      </c>
      <c r="F1871" s="122"/>
      <c r="G1871" s="353"/>
    </row>
    <row r="1872" spans="1:8" ht="22.5" customHeight="1">
      <c r="A1872" s="309" t="s">
        <v>30</v>
      </c>
      <c r="B1872" s="354" t="s">
        <v>19</v>
      </c>
      <c r="C1872" s="293" t="s">
        <v>81</v>
      </c>
      <c r="D1872" s="294" t="s">
        <v>77</v>
      </c>
      <c r="E1872" s="294" t="s">
        <v>82</v>
      </c>
      <c r="F1872" s="295" t="s">
        <v>83</v>
      </c>
      <c r="G1872" s="355" t="s">
        <v>84</v>
      </c>
    </row>
    <row r="1873" spans="1:8" ht="14.1" customHeight="1">
      <c r="A1873" s="1141" t="s">
        <v>1322</v>
      </c>
      <c r="B1873" s="1129" t="s">
        <v>110</v>
      </c>
      <c r="C1873" s="293" t="s">
        <v>104</v>
      </c>
      <c r="D1873" s="1131" t="s">
        <v>383</v>
      </c>
      <c r="E1873" s="1162">
        <v>1.4E-2</v>
      </c>
      <c r="F1873" s="298">
        <f>'COMP AUX'!G104</f>
        <v>11.18</v>
      </c>
      <c r="G1873" s="358">
        <f>TRUNC(E1873*F1873,2)</f>
        <v>0.15</v>
      </c>
    </row>
    <row r="1874" spans="1:8" ht="14.1" customHeight="1">
      <c r="A1874" s="1142"/>
      <c r="B1874" s="1130"/>
      <c r="C1874" s="293" t="s">
        <v>87</v>
      </c>
      <c r="D1874" s="1131"/>
      <c r="E1874" s="1163"/>
      <c r="F1874" s="298">
        <f>'COMP AUX'!G105</f>
        <v>4.7300000000000004</v>
      </c>
      <c r="G1874" s="296">
        <f>TRUNC(E1873*F1874,2)</f>
        <v>0.06</v>
      </c>
    </row>
    <row r="1875" spans="1:8" ht="14.1" customHeight="1">
      <c r="A1875" s="1159">
        <v>88310</v>
      </c>
      <c r="B1875" s="1129" t="s">
        <v>995</v>
      </c>
      <c r="C1875" s="293" t="s">
        <v>104</v>
      </c>
      <c r="D1875" s="1155" t="s">
        <v>383</v>
      </c>
      <c r="E1875" s="1162">
        <v>0.47</v>
      </c>
      <c r="F1875" s="298">
        <f>'COMP AUX'!G236</f>
        <v>14.96</v>
      </c>
      <c r="G1875" s="312">
        <f t="shared" ref="G1875" si="69">TRUNC(E1875*F1875,2)</f>
        <v>7.03</v>
      </c>
    </row>
    <row r="1876" spans="1:8" ht="14.1" customHeight="1">
      <c r="A1876" s="1160"/>
      <c r="B1876" s="1130"/>
      <c r="C1876" s="293" t="s">
        <v>87</v>
      </c>
      <c r="D1876" s="1156"/>
      <c r="E1876" s="1163"/>
      <c r="F1876" s="298">
        <f>'COMP AUX'!G237</f>
        <v>5.96</v>
      </c>
      <c r="G1876" s="312">
        <f>TRUNC(E1875*F1876,2)</f>
        <v>2.8</v>
      </c>
    </row>
    <row r="1877" spans="1:8" ht="14.1" customHeight="1">
      <c r="A1877" s="565">
        <v>6085</v>
      </c>
      <c r="B1877" s="586" t="s">
        <v>2226</v>
      </c>
      <c r="C1877" s="293" t="s">
        <v>87</v>
      </c>
      <c r="D1877" s="541" t="s">
        <v>1207</v>
      </c>
      <c r="E1877" s="595">
        <v>0.16</v>
      </c>
      <c r="F1877" s="298">
        <v>4.3499999999999996</v>
      </c>
      <c r="G1877" s="312">
        <f>TRUNC(E1877*F1877,2)</f>
        <v>0.69</v>
      </c>
    </row>
    <row r="1878" spans="1:8" ht="14.1" customHeight="1">
      <c r="F1878" s="360" t="s">
        <v>90</v>
      </c>
      <c r="G1878" s="322">
        <f>G1873+G1875</f>
        <v>7.1800000000000006</v>
      </c>
    </row>
    <row r="1879" spans="1:8" ht="14.1" customHeight="1">
      <c r="F1879" s="301" t="s">
        <v>92</v>
      </c>
      <c r="G1879" s="312">
        <f>G1874+G1876+G1877</f>
        <v>3.55</v>
      </c>
    </row>
    <row r="1880" spans="1:8" ht="14.1" customHeight="1">
      <c r="A1880" s="122" t="s">
        <v>94</v>
      </c>
      <c r="F1880" s="301" t="s">
        <v>93</v>
      </c>
      <c r="G1880" s="313">
        <f>SUM(G1878:G1879)</f>
        <v>10.73</v>
      </c>
    </row>
    <row r="1881" spans="1:8" ht="14.1" customHeight="1">
      <c r="A1881" s="300" t="s">
        <v>95</v>
      </c>
      <c r="B1881" s="385">
        <f>G1880</f>
        <v>10.73</v>
      </c>
    </row>
    <row r="1882" spans="1:8" ht="14.1" customHeight="1">
      <c r="A1882" s="382" t="s">
        <v>2272</v>
      </c>
      <c r="B1882" s="381"/>
    </row>
    <row r="1883" spans="1:8" ht="14.1" customHeight="1">
      <c r="A1883" s="443" t="s">
        <v>2311</v>
      </c>
      <c r="B1883" s="381">
        <f>(B1881+B1882)*0.245</f>
        <v>2.6288499999999999</v>
      </c>
    </row>
    <row r="1884" spans="1:8" ht="14.1" customHeight="1">
      <c r="A1884" s="300" t="s">
        <v>98</v>
      </c>
      <c r="B1884" s="386">
        <f>SUM(B1881:B1883)</f>
        <v>13.35885</v>
      </c>
      <c r="H1884" s="394"/>
    </row>
    <row r="1885" spans="1:8" ht="11.25" customHeight="1">
      <c r="A1885" s="362"/>
      <c r="B1885" s="363"/>
      <c r="C1885" s="364"/>
      <c r="D1885" s="362"/>
      <c r="E1885" s="363"/>
      <c r="F1885" s="363"/>
      <c r="G1885" s="363"/>
      <c r="H1885" s="362"/>
    </row>
    <row r="1886" spans="1:8" ht="11.25" customHeight="1"/>
    <row r="1887" spans="1:8" ht="11.25" customHeight="1">
      <c r="A1887" s="122" t="s">
        <v>1194</v>
      </c>
    </row>
    <row r="1888" spans="1:8" ht="11.25" customHeight="1">
      <c r="A1888" s="148" t="s">
        <v>2227</v>
      </c>
    </row>
    <row r="1889" spans="1:8" ht="16.5" customHeight="1">
      <c r="A1889" s="352" t="s">
        <v>1450</v>
      </c>
      <c r="B1889" s="1161" t="s">
        <v>1869</v>
      </c>
      <c r="C1889" s="1161"/>
      <c r="D1889" s="494" t="s">
        <v>1487</v>
      </c>
      <c r="F1889" s="122"/>
      <c r="G1889" s="353"/>
    </row>
    <row r="1890" spans="1:8" ht="23.25" customHeight="1">
      <c r="A1890" s="309" t="s">
        <v>30</v>
      </c>
      <c r="B1890" s="354" t="s">
        <v>19</v>
      </c>
      <c r="C1890" s="293" t="s">
        <v>81</v>
      </c>
      <c r="D1890" s="294" t="s">
        <v>77</v>
      </c>
      <c r="E1890" s="294" t="s">
        <v>82</v>
      </c>
      <c r="F1890" s="295" t="s">
        <v>83</v>
      </c>
      <c r="G1890" s="355" t="s">
        <v>84</v>
      </c>
    </row>
    <row r="1891" spans="1:8" ht="14.1" customHeight="1">
      <c r="A1891" s="1141" t="s">
        <v>1322</v>
      </c>
      <c r="B1891" s="1129" t="s">
        <v>110</v>
      </c>
      <c r="C1891" s="293" t="s">
        <v>104</v>
      </c>
      <c r="D1891" s="1131" t="s">
        <v>383</v>
      </c>
      <c r="E1891" s="1162">
        <v>6.9000000000000006E-2</v>
      </c>
      <c r="F1891" s="298">
        <f>'COMP AUX'!G104</f>
        <v>11.18</v>
      </c>
      <c r="G1891" s="358">
        <f>TRUNC(E1891*F1891,2)</f>
        <v>0.77</v>
      </c>
    </row>
    <row r="1892" spans="1:8" ht="14.1" customHeight="1">
      <c r="A1892" s="1142"/>
      <c r="B1892" s="1130"/>
      <c r="C1892" s="293" t="s">
        <v>87</v>
      </c>
      <c r="D1892" s="1131"/>
      <c r="E1892" s="1163"/>
      <c r="F1892" s="298">
        <f>'COMP AUX'!G105</f>
        <v>4.7300000000000004</v>
      </c>
      <c r="G1892" s="296">
        <f>TRUNC(E1891*F1892,2)</f>
        <v>0.32</v>
      </c>
    </row>
    <row r="1893" spans="1:8" ht="14.1" customHeight="1">
      <c r="A1893" s="1159">
        <v>88310</v>
      </c>
      <c r="B1893" s="1129" t="s">
        <v>995</v>
      </c>
      <c r="C1893" s="293" t="s">
        <v>104</v>
      </c>
      <c r="D1893" s="1155" t="s">
        <v>383</v>
      </c>
      <c r="E1893" s="1162">
        <v>0.18</v>
      </c>
      <c r="F1893" s="298">
        <f>'COMP AUX'!G236</f>
        <v>14.96</v>
      </c>
      <c r="G1893" s="312">
        <f t="shared" ref="G1893" si="70">TRUNC(E1893*F1893,2)</f>
        <v>2.69</v>
      </c>
    </row>
    <row r="1894" spans="1:8" ht="14.1" customHeight="1">
      <c r="A1894" s="1160"/>
      <c r="B1894" s="1130"/>
      <c r="C1894" s="293" t="s">
        <v>87</v>
      </c>
      <c r="D1894" s="1156"/>
      <c r="E1894" s="1163"/>
      <c r="F1894" s="298">
        <f>'COMP AUX'!G237</f>
        <v>5.96</v>
      </c>
      <c r="G1894" s="312">
        <f>TRUNC(E1893*F1894,2)</f>
        <v>1.07</v>
      </c>
    </row>
    <row r="1895" spans="1:8" ht="24" customHeight="1">
      <c r="A1895" s="565" t="s">
        <v>990</v>
      </c>
      <c r="B1895" s="586" t="s">
        <v>991</v>
      </c>
      <c r="C1895" s="293" t="s">
        <v>87</v>
      </c>
      <c r="D1895" s="541" t="s">
        <v>1207</v>
      </c>
      <c r="E1895" s="595">
        <v>1.1399999999999999</v>
      </c>
      <c r="F1895" s="298">
        <v>4.9400000000000004</v>
      </c>
      <c r="G1895" s="312">
        <f>TRUNC(E1895*F1895,2)</f>
        <v>5.63</v>
      </c>
    </row>
    <row r="1896" spans="1:8" ht="14.1" customHeight="1">
      <c r="F1896" s="360" t="s">
        <v>90</v>
      </c>
      <c r="G1896" s="322">
        <f>G1891+G1893</f>
        <v>3.46</v>
      </c>
    </row>
    <row r="1897" spans="1:8" ht="14.1" customHeight="1">
      <c r="F1897" s="301" t="s">
        <v>92</v>
      </c>
      <c r="G1897" s="312">
        <f>G1892+G1894+G1895</f>
        <v>7.02</v>
      </c>
    </row>
    <row r="1898" spans="1:8" ht="14.1" customHeight="1">
      <c r="A1898" s="122" t="s">
        <v>94</v>
      </c>
      <c r="F1898" s="301" t="s">
        <v>93</v>
      </c>
      <c r="G1898" s="313">
        <f>SUM(G1896:G1897)</f>
        <v>10.48</v>
      </c>
    </row>
    <row r="1899" spans="1:8" ht="14.1" customHeight="1">
      <c r="A1899" s="300" t="s">
        <v>95</v>
      </c>
      <c r="B1899" s="385">
        <f>G1898</f>
        <v>10.48</v>
      </c>
    </row>
    <row r="1900" spans="1:8" ht="14.1" customHeight="1">
      <c r="A1900" s="382" t="s">
        <v>2272</v>
      </c>
      <c r="B1900" s="381"/>
    </row>
    <row r="1901" spans="1:8" ht="14.1" customHeight="1">
      <c r="A1901" s="443" t="s">
        <v>2311</v>
      </c>
      <c r="B1901" s="381">
        <f>(B1899+B1900)*0.245</f>
        <v>2.5676000000000001</v>
      </c>
    </row>
    <row r="1902" spans="1:8" ht="14.1" customHeight="1">
      <c r="A1902" s="300" t="s">
        <v>98</v>
      </c>
      <c r="B1902" s="386">
        <f>SUM(B1899:B1901)</f>
        <v>13.047600000000001</v>
      </c>
      <c r="H1902" s="394"/>
    </row>
    <row r="1903" spans="1:8" ht="11.25" customHeight="1">
      <c r="A1903" s="362"/>
      <c r="B1903" s="363"/>
      <c r="C1903" s="364"/>
      <c r="D1903" s="362"/>
      <c r="E1903" s="363"/>
      <c r="F1903" s="363"/>
      <c r="G1903" s="363"/>
      <c r="H1903" s="362"/>
    </row>
    <row r="1904" spans="1:8" ht="11.25" customHeight="1"/>
    <row r="1905" spans="1:7" ht="11.25" customHeight="1">
      <c r="A1905" s="122" t="s">
        <v>1194</v>
      </c>
    </row>
    <row r="1906" spans="1:7" ht="11.25" customHeight="1">
      <c r="A1906" s="148" t="s">
        <v>3283</v>
      </c>
    </row>
    <row r="1907" spans="1:7" ht="16.5" customHeight="1">
      <c r="A1907" s="352" t="s">
        <v>1450</v>
      </c>
      <c r="B1907" s="1161" t="s">
        <v>3284</v>
      </c>
      <c r="C1907" s="1161"/>
      <c r="D1907" s="494" t="s">
        <v>1487</v>
      </c>
      <c r="F1907" s="122"/>
      <c r="G1907" s="353"/>
    </row>
    <row r="1908" spans="1:7" ht="23.25" customHeight="1">
      <c r="A1908" s="1027" t="s">
        <v>30</v>
      </c>
      <c r="B1908" s="354" t="s">
        <v>19</v>
      </c>
      <c r="C1908" s="293" t="s">
        <v>81</v>
      </c>
      <c r="D1908" s="1018" t="s">
        <v>77</v>
      </c>
      <c r="E1908" s="1018" t="s">
        <v>82</v>
      </c>
      <c r="F1908" s="1023" t="s">
        <v>83</v>
      </c>
      <c r="G1908" s="355" t="s">
        <v>84</v>
      </c>
    </row>
    <row r="1909" spans="1:7" ht="14.1" customHeight="1">
      <c r="A1909" s="1141" t="s">
        <v>1322</v>
      </c>
      <c r="B1909" s="1129" t="s">
        <v>110</v>
      </c>
      <c r="C1909" s="293" t="s">
        <v>104</v>
      </c>
      <c r="D1909" s="1131" t="s">
        <v>383</v>
      </c>
      <c r="E1909" s="1162">
        <v>1</v>
      </c>
      <c r="F1909" s="298">
        <f>'COMP AUX'!G104</f>
        <v>11.18</v>
      </c>
      <c r="G1909" s="358">
        <f>TRUNC(E1909*F1909,2)</f>
        <v>11.18</v>
      </c>
    </row>
    <row r="1910" spans="1:7" ht="14.1" customHeight="1">
      <c r="A1910" s="1142"/>
      <c r="B1910" s="1130"/>
      <c r="C1910" s="293" t="s">
        <v>87</v>
      </c>
      <c r="D1910" s="1131"/>
      <c r="E1910" s="1163"/>
      <c r="F1910" s="298">
        <f>'COMP AUX'!G105</f>
        <v>4.7300000000000004</v>
      </c>
      <c r="G1910" s="296">
        <f>TRUNC(E1909*F1910,2)</f>
        <v>4.7300000000000004</v>
      </c>
    </row>
    <row r="1911" spans="1:7" ht="14.1" customHeight="1">
      <c r="A1911" s="1159">
        <v>88262</v>
      </c>
      <c r="B1911" s="1129" t="s">
        <v>1751</v>
      </c>
      <c r="C1911" s="293" t="s">
        <v>104</v>
      </c>
      <c r="D1911" s="1155" t="s">
        <v>383</v>
      </c>
      <c r="E1911" s="1162">
        <v>0.5</v>
      </c>
      <c r="F1911" s="298">
        <f>'COMP AUX'!G87</f>
        <v>14.92</v>
      </c>
      <c r="G1911" s="312">
        <f t="shared" ref="G1911" si="71">TRUNC(E1911*F1911,2)</f>
        <v>7.46</v>
      </c>
    </row>
    <row r="1912" spans="1:7" ht="14.1" customHeight="1">
      <c r="A1912" s="1160"/>
      <c r="B1912" s="1130"/>
      <c r="C1912" s="293" t="s">
        <v>87</v>
      </c>
      <c r="D1912" s="1156"/>
      <c r="E1912" s="1163"/>
      <c r="F1912" s="298">
        <f>'COMP AUX'!G88</f>
        <v>4.75</v>
      </c>
      <c r="G1912" s="312">
        <f>TRUNC(E1911*F1912,2)</f>
        <v>2.37</v>
      </c>
    </row>
    <row r="1913" spans="1:7" ht="18.75" customHeight="1">
      <c r="A1913" s="336" t="s">
        <v>135</v>
      </c>
      <c r="B1913" s="1020" t="s">
        <v>3285</v>
      </c>
      <c r="C1913" s="293" t="s">
        <v>87</v>
      </c>
      <c r="D1913" s="1021" t="s">
        <v>381</v>
      </c>
      <c r="E1913" s="1019">
        <v>2</v>
      </c>
      <c r="F1913" s="298">
        <v>612.45000000000005</v>
      </c>
      <c r="G1913" s="312">
        <f>E1913*F1913</f>
        <v>1224.9000000000001</v>
      </c>
    </row>
    <row r="1914" spans="1:7" ht="16.5" customHeight="1">
      <c r="A1914" s="348" t="s">
        <v>135</v>
      </c>
      <c r="B1914" s="1020" t="s">
        <v>3287</v>
      </c>
      <c r="C1914" s="293" t="s">
        <v>87</v>
      </c>
      <c r="D1914" s="1021" t="s">
        <v>381</v>
      </c>
      <c r="E1914" s="1019">
        <v>1</v>
      </c>
      <c r="F1914" s="298">
        <v>524.96</v>
      </c>
      <c r="G1914" s="312">
        <f>E1914*F1914</f>
        <v>524.96</v>
      </c>
    </row>
    <row r="1915" spans="1:7" ht="16.5" customHeight="1">
      <c r="A1915" s="348" t="s">
        <v>135</v>
      </c>
      <c r="B1915" s="1020" t="s">
        <v>3288</v>
      </c>
      <c r="C1915" s="293" t="s">
        <v>87</v>
      </c>
      <c r="D1915" s="1037" t="s">
        <v>381</v>
      </c>
      <c r="E1915" s="1019"/>
      <c r="F1915" s="298"/>
      <c r="G1915" s="312"/>
    </row>
    <row r="1916" spans="1:7" ht="16.5" customHeight="1">
      <c r="A1916" s="348" t="s">
        <v>135</v>
      </c>
      <c r="B1916" s="1020" t="s">
        <v>3289</v>
      </c>
      <c r="C1916" s="293" t="s">
        <v>87</v>
      </c>
      <c r="D1916" s="1037" t="s">
        <v>381</v>
      </c>
      <c r="E1916" s="1019"/>
      <c r="F1916" s="298"/>
      <c r="G1916" s="312"/>
    </row>
    <row r="1917" spans="1:7" ht="24" customHeight="1">
      <c r="A1917" s="1030" t="s">
        <v>990</v>
      </c>
      <c r="B1917" s="586" t="s">
        <v>991</v>
      </c>
      <c r="C1917" s="293" t="s">
        <v>87</v>
      </c>
      <c r="D1917" s="1021" t="s">
        <v>1207</v>
      </c>
      <c r="E1917" s="1025">
        <v>1.1399999999999999</v>
      </c>
      <c r="F1917" s="298">
        <v>4.9400000000000004</v>
      </c>
      <c r="G1917" s="312">
        <f>TRUNC(E1917*F1917,2)</f>
        <v>5.63</v>
      </c>
    </row>
    <row r="1918" spans="1:7" ht="14.1" customHeight="1">
      <c r="F1918" s="360" t="s">
        <v>90</v>
      </c>
      <c r="G1918" s="322">
        <f>SUM(G1909,G1911)</f>
        <v>18.64</v>
      </c>
    </row>
    <row r="1919" spans="1:7" ht="14.1" customHeight="1">
      <c r="F1919" s="301" t="s">
        <v>92</v>
      </c>
      <c r="G1919" s="312">
        <f>SUM(G1910,G1912,G1913,G1914,G1915,G1916)</f>
        <v>1756.96</v>
      </c>
    </row>
    <row r="1920" spans="1:7" ht="14.1" customHeight="1">
      <c r="A1920" s="122" t="s">
        <v>94</v>
      </c>
      <c r="F1920" s="301" t="s">
        <v>93</v>
      </c>
      <c r="G1920" s="313">
        <f>SUM(G1918:G1919)</f>
        <v>1775.6000000000001</v>
      </c>
    </row>
    <row r="1921" spans="1:8" ht="14.1" customHeight="1">
      <c r="A1921" s="300" t="s">
        <v>95</v>
      </c>
      <c r="B1921" s="385">
        <f>G1920</f>
        <v>1775.6000000000001</v>
      </c>
    </row>
    <row r="1922" spans="1:8" ht="14.1" customHeight="1">
      <c r="A1922" s="382" t="s">
        <v>2272</v>
      </c>
      <c r="B1922" s="381"/>
    </row>
    <row r="1923" spans="1:8" ht="14.1" customHeight="1">
      <c r="A1923" s="443" t="s">
        <v>2311</v>
      </c>
      <c r="B1923" s="381">
        <f>(B1921+B1922)*0.245</f>
        <v>435.02200000000005</v>
      </c>
    </row>
    <row r="1924" spans="1:8" ht="14.1" customHeight="1">
      <c r="A1924" s="300" t="s">
        <v>98</v>
      </c>
      <c r="B1924" s="386">
        <f>SUM(B1921:B1923)</f>
        <v>2210.6220000000003</v>
      </c>
      <c r="H1924" s="394"/>
    </row>
    <row r="1925" spans="1:8" ht="11.25" customHeight="1">
      <c r="A1925" s="362"/>
      <c r="B1925" s="363"/>
      <c r="C1925" s="364"/>
      <c r="D1925" s="362"/>
      <c r="E1925" s="363"/>
      <c r="F1925" s="363"/>
      <c r="G1925" s="363"/>
      <c r="H1925" s="362"/>
    </row>
    <row r="1926" spans="1:8" ht="11.25" customHeight="1">
      <c r="A1926" s="362"/>
      <c r="B1926" s="363"/>
      <c r="C1926" s="364"/>
      <c r="D1926" s="362"/>
      <c r="E1926" s="363"/>
      <c r="F1926" s="363"/>
      <c r="G1926" s="363"/>
      <c r="H1926" s="362"/>
    </row>
    <row r="1927" spans="1:8" ht="11.25" customHeight="1"/>
    <row r="1928" spans="1:8" ht="11.25" customHeight="1">
      <c r="A1928" s="122" t="s">
        <v>1194</v>
      </c>
    </row>
    <row r="1929" spans="1:8" ht="11.25" customHeight="1">
      <c r="A1929" s="148" t="s">
        <v>3371</v>
      </c>
    </row>
    <row r="1930" spans="1:8" ht="16.5" customHeight="1">
      <c r="A1930" s="352" t="s">
        <v>1450</v>
      </c>
      <c r="B1930" s="1161" t="s">
        <v>3284</v>
      </c>
      <c r="C1930" s="1161"/>
      <c r="D1930" s="494" t="s">
        <v>1487</v>
      </c>
      <c r="F1930" s="122"/>
      <c r="G1930" s="353"/>
    </row>
    <row r="1931" spans="1:8" ht="23.25" customHeight="1">
      <c r="A1931" s="1074" t="s">
        <v>30</v>
      </c>
      <c r="B1931" s="354" t="s">
        <v>19</v>
      </c>
      <c r="C1931" s="293" t="s">
        <v>81</v>
      </c>
      <c r="D1931" s="1072" t="s">
        <v>77</v>
      </c>
      <c r="E1931" s="1072" t="s">
        <v>82</v>
      </c>
      <c r="F1931" s="1073" t="s">
        <v>83</v>
      </c>
      <c r="G1931" s="355" t="s">
        <v>84</v>
      </c>
    </row>
    <row r="1932" spans="1:8" ht="14.1" customHeight="1">
      <c r="A1932" s="1141" t="s">
        <v>1322</v>
      </c>
      <c r="B1932" s="1129" t="s">
        <v>110</v>
      </c>
      <c r="C1932" s="293" t="s">
        <v>104</v>
      </c>
      <c r="D1932" s="1131" t="s">
        <v>383</v>
      </c>
      <c r="E1932" s="1162">
        <v>40</v>
      </c>
      <c r="F1932" s="298">
        <v>11.18</v>
      </c>
      <c r="G1932" s="358">
        <f>TRUNC(E1932*F1932,2)</f>
        <v>447.2</v>
      </c>
    </row>
    <row r="1933" spans="1:8" ht="14.1" customHeight="1">
      <c r="A1933" s="1142"/>
      <c r="B1933" s="1130"/>
      <c r="C1933" s="293" t="s">
        <v>87</v>
      </c>
      <c r="D1933" s="1131"/>
      <c r="E1933" s="1163"/>
      <c r="F1933" s="298">
        <v>4.7300000000000004</v>
      </c>
      <c r="G1933" s="296">
        <f>TRUNC(E1932*F1933,2)</f>
        <v>189.2</v>
      </c>
    </row>
    <row r="1934" spans="1:8" ht="14.1" customHeight="1">
      <c r="A1934" s="1159">
        <v>88262</v>
      </c>
      <c r="B1934" s="1129" t="s">
        <v>1751</v>
      </c>
      <c r="C1934" s="293" t="s">
        <v>104</v>
      </c>
      <c r="D1934" s="1155" t="s">
        <v>383</v>
      </c>
      <c r="E1934" s="1162">
        <v>40</v>
      </c>
      <c r="F1934" s="298">
        <v>14.92</v>
      </c>
      <c r="G1934" s="312">
        <f t="shared" ref="G1934" si="72">TRUNC(E1934*F1934,2)</f>
        <v>596.79999999999995</v>
      </c>
    </row>
    <row r="1935" spans="1:8" ht="14.1" customHeight="1">
      <c r="A1935" s="1160"/>
      <c r="B1935" s="1130"/>
      <c r="C1935" s="293" t="s">
        <v>87</v>
      </c>
      <c r="D1935" s="1156"/>
      <c r="E1935" s="1163"/>
      <c r="F1935" s="298">
        <v>4.75</v>
      </c>
      <c r="G1935" s="312">
        <f>TRUNC(E1934*F1935,2)</f>
        <v>190</v>
      </c>
    </row>
    <row r="1936" spans="1:8" ht="18.75" customHeight="1">
      <c r="A1936" s="336" t="s">
        <v>135</v>
      </c>
      <c r="B1936" s="1069" t="s">
        <v>3372</v>
      </c>
      <c r="C1936" s="293" t="s">
        <v>87</v>
      </c>
      <c r="D1936" s="1070" t="s">
        <v>4</v>
      </c>
      <c r="E1936" s="1071">
        <v>668</v>
      </c>
      <c r="F1936" s="298">
        <v>260</v>
      </c>
      <c r="G1936" s="312">
        <f>E1936*F1936</f>
        <v>173680</v>
      </c>
    </row>
    <row r="1937" spans="1:8" ht="16.5" customHeight="1">
      <c r="A1937" s="348" t="s">
        <v>135</v>
      </c>
      <c r="B1937" s="1069"/>
      <c r="C1937" s="293" t="s">
        <v>87</v>
      </c>
      <c r="D1937" s="1070" t="s">
        <v>4</v>
      </c>
      <c r="E1937" s="1071">
        <v>1</v>
      </c>
      <c r="F1937" s="298"/>
      <c r="G1937" s="312">
        <f>E1937*F1937</f>
        <v>0</v>
      </c>
    </row>
    <row r="1938" spans="1:8" ht="14.1" customHeight="1">
      <c r="F1938" s="360" t="s">
        <v>90</v>
      </c>
      <c r="G1938" s="322">
        <f>SUM(G1932,G1934)</f>
        <v>1044</v>
      </c>
    </row>
    <row r="1939" spans="1:8" ht="14.1" customHeight="1">
      <c r="F1939" s="301" t="s">
        <v>92</v>
      </c>
      <c r="G1939" s="312">
        <f>SUM(G1933,G1935,G1936)</f>
        <v>174059.2</v>
      </c>
    </row>
    <row r="1940" spans="1:8" ht="14.1" customHeight="1">
      <c r="A1940" s="122" t="s">
        <v>94</v>
      </c>
      <c r="F1940" s="301" t="s">
        <v>93</v>
      </c>
      <c r="G1940" s="313">
        <f>SUM(G1938:G1939)</f>
        <v>175103.2</v>
      </c>
    </row>
    <row r="1941" spans="1:8" ht="14.1" customHeight="1">
      <c r="A1941" s="300" t="s">
        <v>95</v>
      </c>
      <c r="B1941" s="385">
        <f>G1940</f>
        <v>175103.2</v>
      </c>
    </row>
    <row r="1942" spans="1:8" ht="14.1" customHeight="1">
      <c r="A1942" s="382" t="s">
        <v>2272</v>
      </c>
      <c r="B1942" s="381"/>
    </row>
    <row r="1943" spans="1:8" ht="14.1" customHeight="1">
      <c r="A1943" s="443" t="s">
        <v>2311</v>
      </c>
      <c r="B1943" s="381">
        <f>(B1941+B1942)*0.245</f>
        <v>42900.284</v>
      </c>
    </row>
    <row r="1944" spans="1:8" ht="14.1" customHeight="1">
      <c r="A1944" s="300" t="s">
        <v>98</v>
      </c>
      <c r="B1944" s="386">
        <f>SUM(B1941:B1943)</f>
        <v>218003.484</v>
      </c>
      <c r="H1944" s="394"/>
    </row>
    <row r="1945" spans="1:8" ht="11.25" customHeight="1">
      <c r="A1945" s="362"/>
      <c r="B1945" s="363"/>
      <c r="C1945" s="364"/>
      <c r="D1945" s="362"/>
      <c r="E1945" s="363"/>
      <c r="F1945" s="363"/>
      <c r="G1945" s="363"/>
      <c r="H1945" s="362"/>
    </row>
    <row r="1946" spans="1:8" ht="11.25" customHeight="1"/>
    <row r="1947" spans="1:8" ht="11.25" customHeight="1">
      <c r="A1947" s="122" t="s">
        <v>1194</v>
      </c>
    </row>
    <row r="1948" spans="1:8" ht="11.25" customHeight="1">
      <c r="A1948" s="148" t="s">
        <v>2228</v>
      </c>
    </row>
    <row r="1949" spans="1:8" ht="26.25" customHeight="1">
      <c r="A1949" s="352" t="s">
        <v>1450</v>
      </c>
      <c r="B1949" s="352" t="s">
        <v>1892</v>
      </c>
      <c r="C1949" s="608" t="s">
        <v>1487</v>
      </c>
      <c r="F1949" s="122"/>
      <c r="G1949" s="353"/>
    </row>
    <row r="1950" spans="1:8" ht="23.25" customHeight="1">
      <c r="A1950" s="309" t="s">
        <v>30</v>
      </c>
      <c r="B1950" s="354" t="s">
        <v>19</v>
      </c>
      <c r="C1950" s="293" t="s">
        <v>81</v>
      </c>
      <c r="D1950" s="294" t="s">
        <v>77</v>
      </c>
      <c r="E1950" s="294" t="s">
        <v>82</v>
      </c>
      <c r="F1950" s="295" t="s">
        <v>83</v>
      </c>
      <c r="G1950" s="355" t="s">
        <v>84</v>
      </c>
    </row>
    <row r="1951" spans="1:8" ht="14.1" customHeight="1">
      <c r="A1951" s="1141" t="s">
        <v>1322</v>
      </c>
      <c r="B1951" s="1129" t="s">
        <v>110</v>
      </c>
      <c r="C1951" s="293" t="s">
        <v>104</v>
      </c>
      <c r="D1951" s="1131" t="s">
        <v>383</v>
      </c>
      <c r="E1951" s="1162">
        <v>0.3</v>
      </c>
      <c r="F1951" s="298">
        <f>'COMP AUX'!G104</f>
        <v>11.18</v>
      </c>
      <c r="G1951" s="358">
        <f>TRUNC(E1951*F1951,2)</f>
        <v>3.35</v>
      </c>
    </row>
    <row r="1952" spans="1:8" ht="14.1" customHeight="1">
      <c r="A1952" s="1142"/>
      <c r="B1952" s="1130"/>
      <c r="C1952" s="293" t="s">
        <v>87</v>
      </c>
      <c r="D1952" s="1131"/>
      <c r="E1952" s="1163"/>
      <c r="F1952" s="298">
        <f>'COMP AUX'!G105</f>
        <v>4.7300000000000004</v>
      </c>
      <c r="G1952" s="296">
        <f>TRUNC(E1951*F1952,2)</f>
        <v>1.41</v>
      </c>
    </row>
    <row r="1953" spans="1:8" ht="14.1" customHeight="1">
      <c r="A1953" s="1159">
        <v>88310</v>
      </c>
      <c r="B1953" s="1129" t="s">
        <v>995</v>
      </c>
      <c r="C1953" s="293" t="s">
        <v>104</v>
      </c>
      <c r="D1953" s="1155" t="s">
        <v>383</v>
      </c>
      <c r="E1953" s="1162">
        <v>0.4</v>
      </c>
      <c r="F1953" s="298">
        <f>'COMP AUX'!G236</f>
        <v>14.96</v>
      </c>
      <c r="G1953" s="312">
        <f t="shared" ref="G1953" si="73">TRUNC(E1953*F1953,2)</f>
        <v>5.98</v>
      </c>
    </row>
    <row r="1954" spans="1:8" ht="14.1" customHeight="1">
      <c r="A1954" s="1160"/>
      <c r="B1954" s="1130"/>
      <c r="C1954" s="293" t="s">
        <v>87</v>
      </c>
      <c r="D1954" s="1156"/>
      <c r="E1954" s="1163"/>
      <c r="F1954" s="298">
        <f>'COMP AUX'!G237</f>
        <v>5.96</v>
      </c>
      <c r="G1954" s="312">
        <f>TRUNC(E1953*F1954,2)</f>
        <v>2.38</v>
      </c>
    </row>
    <row r="1955" spans="1:8" ht="24" customHeight="1">
      <c r="A1955" s="565" t="s">
        <v>2229</v>
      </c>
      <c r="B1955" s="586" t="s">
        <v>2230</v>
      </c>
      <c r="C1955" s="293" t="s">
        <v>87</v>
      </c>
      <c r="D1955" s="541" t="s">
        <v>1207</v>
      </c>
      <c r="E1955" s="595">
        <v>0.24</v>
      </c>
      <c r="F1955" s="298">
        <v>20.55</v>
      </c>
      <c r="G1955" s="312">
        <f>TRUNC(E1955*F1955,2)</f>
        <v>4.93</v>
      </c>
    </row>
    <row r="1956" spans="1:8" ht="14.1" customHeight="1">
      <c r="F1956" s="360" t="s">
        <v>90</v>
      </c>
      <c r="G1956" s="322">
        <f>G1951+G1953</f>
        <v>9.33</v>
      </c>
    </row>
    <row r="1957" spans="1:8" ht="14.1" customHeight="1">
      <c r="F1957" s="301" t="s">
        <v>92</v>
      </c>
      <c r="G1957" s="312">
        <f>G1952+G1954+G1955</f>
        <v>8.7199999999999989</v>
      </c>
    </row>
    <row r="1958" spans="1:8" ht="14.1" customHeight="1">
      <c r="A1958" s="122" t="s">
        <v>94</v>
      </c>
      <c r="F1958" s="301" t="s">
        <v>93</v>
      </c>
      <c r="G1958" s="820">
        <f>SUM(G1956:G1957)</f>
        <v>18.049999999999997</v>
      </c>
    </row>
    <row r="1959" spans="1:8" ht="14.1" customHeight="1">
      <c r="A1959" s="300" t="s">
        <v>95</v>
      </c>
      <c r="B1959" s="385">
        <f>G1958</f>
        <v>18.049999999999997</v>
      </c>
    </row>
    <row r="1960" spans="1:8" ht="14.1" customHeight="1">
      <c r="A1960" s="382" t="s">
        <v>2272</v>
      </c>
      <c r="B1960" s="381"/>
    </row>
    <row r="1961" spans="1:8" ht="14.1" customHeight="1">
      <c r="A1961" s="443" t="s">
        <v>2311</v>
      </c>
      <c r="B1961" s="381">
        <f>(B1959+B1960)*0.245</f>
        <v>4.4222499999999991</v>
      </c>
    </row>
    <row r="1962" spans="1:8" ht="14.1" customHeight="1">
      <c r="A1962" s="300" t="s">
        <v>98</v>
      </c>
      <c r="B1962" s="386">
        <f>SUM(B1959:B1961)</f>
        <v>22.472249999999995</v>
      </c>
      <c r="H1962" s="394"/>
    </row>
    <row r="1963" spans="1:8" ht="11.25" customHeight="1">
      <c r="A1963" s="362"/>
      <c r="B1963" s="363"/>
      <c r="C1963" s="364"/>
      <c r="D1963" s="362"/>
      <c r="E1963" s="363"/>
      <c r="F1963" s="363"/>
      <c r="G1963" s="363"/>
      <c r="H1963" s="362"/>
    </row>
    <row r="1964" spans="1:8" ht="11.25" customHeight="1"/>
    <row r="1965" spans="1:8" ht="11.25" customHeight="1">
      <c r="A1965" s="122" t="s">
        <v>1194</v>
      </c>
    </row>
    <row r="1966" spans="1:8" ht="11.25" customHeight="1">
      <c r="A1966" s="148" t="s">
        <v>3373</v>
      </c>
    </row>
    <row r="1967" spans="1:8" ht="30" customHeight="1">
      <c r="A1967" s="352" t="s">
        <v>1450</v>
      </c>
      <c r="B1967" s="352" t="s">
        <v>3374</v>
      </c>
      <c r="C1967" s="608" t="s">
        <v>1487</v>
      </c>
      <c r="F1967" s="122"/>
      <c r="G1967" s="353"/>
    </row>
    <row r="1968" spans="1:8" ht="24" customHeight="1">
      <c r="A1968" s="309" t="s">
        <v>30</v>
      </c>
      <c r="B1968" s="354" t="s">
        <v>19</v>
      </c>
      <c r="C1968" s="293" t="s">
        <v>81</v>
      </c>
      <c r="D1968" s="294" t="s">
        <v>77</v>
      </c>
      <c r="E1968" s="294" t="s">
        <v>82</v>
      </c>
      <c r="F1968" s="295" t="s">
        <v>83</v>
      </c>
      <c r="G1968" s="355" t="s">
        <v>84</v>
      </c>
    </row>
    <row r="1969" spans="1:8" ht="14.1" customHeight="1">
      <c r="A1969" s="1141">
        <v>88261</v>
      </c>
      <c r="B1969" s="1129" t="s">
        <v>3375</v>
      </c>
      <c r="C1969" s="293" t="s">
        <v>104</v>
      </c>
      <c r="D1969" s="1131" t="s">
        <v>383</v>
      </c>
      <c r="E1969" s="1162">
        <v>1.6779999999999999</v>
      </c>
      <c r="F1969" s="298">
        <v>17.02</v>
      </c>
      <c r="G1969" s="358">
        <f>TRUNC(E1969*F1969,2)</f>
        <v>28.55</v>
      </c>
    </row>
    <row r="1970" spans="1:8" ht="14.1" customHeight="1">
      <c r="A1970" s="1142"/>
      <c r="B1970" s="1130"/>
      <c r="C1970" s="293" t="s">
        <v>87</v>
      </c>
      <c r="D1970" s="1131"/>
      <c r="E1970" s="1163"/>
      <c r="F1970" s="298">
        <v>4.04</v>
      </c>
      <c r="G1970" s="358">
        <f>TRUNC(E1969*F1970,2)</f>
        <v>6.77</v>
      </c>
    </row>
    <row r="1971" spans="1:8" ht="14.1" customHeight="1">
      <c r="A1971" s="1159">
        <v>88316</v>
      </c>
      <c r="B1971" s="1129" t="s">
        <v>110</v>
      </c>
      <c r="C1971" s="293" t="s">
        <v>104</v>
      </c>
      <c r="D1971" s="1155" t="s">
        <v>383</v>
      </c>
      <c r="E1971" s="1162">
        <v>0.83899999999999997</v>
      </c>
      <c r="F1971" s="298">
        <v>11.89</v>
      </c>
      <c r="G1971" s="312">
        <f>TRUNC(E1971*F1971,2)</f>
        <v>9.9700000000000006</v>
      </c>
    </row>
    <row r="1972" spans="1:8" ht="14.1" customHeight="1">
      <c r="A1972" s="1160"/>
      <c r="B1972" s="1130"/>
      <c r="C1972" s="293" t="s">
        <v>87</v>
      </c>
      <c r="D1972" s="1156"/>
      <c r="E1972" s="1163"/>
      <c r="F1972" s="298">
        <v>4.0199999999999996</v>
      </c>
      <c r="G1972" s="312">
        <f>TRUNC(E1971*F1972,2)</f>
        <v>3.37</v>
      </c>
    </row>
    <row r="1973" spans="1:8" ht="19.5" customHeight="1">
      <c r="A1973" s="565">
        <v>2432</v>
      </c>
      <c r="B1973" s="331" t="s">
        <v>3376</v>
      </c>
      <c r="C1973" s="293" t="s">
        <v>87</v>
      </c>
      <c r="D1973" s="541" t="s">
        <v>381</v>
      </c>
      <c r="E1973" s="540">
        <v>3</v>
      </c>
      <c r="F1973" s="298">
        <v>17.48</v>
      </c>
      <c r="G1973" s="312">
        <f>TRUNC(E1973*F1973,2)</f>
        <v>52.44</v>
      </c>
    </row>
    <row r="1974" spans="1:8" ht="31.5" customHeight="1">
      <c r="A1974" s="565">
        <v>10556</v>
      </c>
      <c r="B1974" s="331" t="s">
        <v>3377</v>
      </c>
      <c r="C1974" s="293" t="s">
        <v>87</v>
      </c>
      <c r="D1974" s="541" t="s">
        <v>1207</v>
      </c>
      <c r="E1974" s="540">
        <v>1</v>
      </c>
      <c r="F1974" s="298">
        <v>272.56</v>
      </c>
      <c r="G1974" s="312">
        <f>TRUNC(E1974*F1974,2)</f>
        <v>272.56</v>
      </c>
    </row>
    <row r="1975" spans="1:8" ht="23.25" customHeight="1">
      <c r="A1975" s="1082">
        <v>11055</v>
      </c>
      <c r="B1975" s="1079" t="s">
        <v>3378</v>
      </c>
      <c r="C1975" s="293"/>
      <c r="D1975" s="1080"/>
      <c r="E1975" s="1081">
        <v>19.8</v>
      </c>
      <c r="F1975" s="298">
        <v>0.04</v>
      </c>
      <c r="G1975" s="312">
        <f>TRUNC(E1975*F1975,2)</f>
        <v>0.79</v>
      </c>
    </row>
    <row r="1976" spans="1:8" ht="14.1" customHeight="1">
      <c r="F1976" s="360" t="s">
        <v>90</v>
      </c>
      <c r="G1976" s="322">
        <f>SUM(G1969,G1971)</f>
        <v>38.520000000000003</v>
      </c>
    </row>
    <row r="1977" spans="1:8" ht="14.1" customHeight="1">
      <c r="F1977" s="301" t="s">
        <v>92</v>
      </c>
      <c r="G1977" s="312">
        <f>SUM(G1970,G1972,G1973,G1974,G1975)</f>
        <v>335.93</v>
      </c>
    </row>
    <row r="1978" spans="1:8" ht="14.1" customHeight="1">
      <c r="A1978" s="122" t="s">
        <v>94</v>
      </c>
      <c r="F1978" s="301" t="s">
        <v>93</v>
      </c>
      <c r="G1978" s="820">
        <f>SUM(G1976:G1977)</f>
        <v>374.45</v>
      </c>
    </row>
    <row r="1979" spans="1:8" ht="14.1" customHeight="1">
      <c r="A1979" s="300" t="s">
        <v>95</v>
      </c>
      <c r="B1979" s="385">
        <f>G1978</f>
        <v>374.45</v>
      </c>
    </row>
    <row r="1980" spans="1:8" ht="14.1" customHeight="1">
      <c r="A1980" s="382" t="s">
        <v>2272</v>
      </c>
      <c r="B1980" s="381"/>
    </row>
    <row r="1981" spans="1:8" ht="14.1" customHeight="1">
      <c r="A1981" s="443" t="s">
        <v>2311</v>
      </c>
      <c r="B1981" s="381">
        <f>(B1979+B1980)*0.245</f>
        <v>91.740249999999989</v>
      </c>
    </row>
    <row r="1982" spans="1:8" ht="14.1" customHeight="1">
      <c r="A1982" s="300" t="s">
        <v>98</v>
      </c>
      <c r="B1982" s="386">
        <f>SUM(B1979:B1981)</f>
        <v>466.19024999999999</v>
      </c>
      <c r="H1982" s="394"/>
    </row>
    <row r="1983" spans="1:8" ht="11.25" customHeight="1">
      <c r="A1983" s="362"/>
      <c r="B1983" s="363"/>
      <c r="C1983" s="364"/>
      <c r="D1983" s="362"/>
      <c r="E1983" s="363"/>
      <c r="F1983" s="363"/>
      <c r="G1983" s="363"/>
      <c r="H1983" s="362"/>
    </row>
    <row r="1984" spans="1:8" ht="11.25" customHeight="1"/>
    <row r="1985" spans="1:8" ht="11.25" customHeight="1">
      <c r="A1985" s="122" t="s">
        <v>2709</v>
      </c>
    </row>
    <row r="1986" spans="1:8" ht="11.25" customHeight="1">
      <c r="A1986" s="148" t="s">
        <v>2267</v>
      </c>
    </row>
    <row r="1987" spans="1:8" ht="23.25" customHeight="1">
      <c r="A1987" s="352" t="s">
        <v>1450</v>
      </c>
      <c r="B1987" s="352" t="s">
        <v>2150</v>
      </c>
      <c r="C1987" s="608" t="s">
        <v>1487</v>
      </c>
      <c r="F1987" s="122"/>
      <c r="G1987" s="353"/>
    </row>
    <row r="1988" spans="1:8" ht="26.25" customHeight="1">
      <c r="A1988" s="309" t="s">
        <v>30</v>
      </c>
      <c r="B1988" s="354" t="s">
        <v>19</v>
      </c>
      <c r="C1988" s="293" t="s">
        <v>81</v>
      </c>
      <c r="D1988" s="294" t="s">
        <v>77</v>
      </c>
      <c r="E1988" s="294" t="s">
        <v>82</v>
      </c>
      <c r="F1988" s="295" t="s">
        <v>83</v>
      </c>
      <c r="G1988" s="355" t="s">
        <v>84</v>
      </c>
    </row>
    <row r="1989" spans="1:8" ht="14.1" customHeight="1">
      <c r="A1989" s="1141" t="s">
        <v>1322</v>
      </c>
      <c r="B1989" s="1129" t="s">
        <v>110</v>
      </c>
      <c r="C1989" s="293" t="s">
        <v>104</v>
      </c>
      <c r="D1989" s="1131" t="s">
        <v>383</v>
      </c>
      <c r="E1989" s="1162">
        <v>0.33</v>
      </c>
      <c r="F1989" s="298">
        <f>'COMP AUX'!G104</f>
        <v>11.18</v>
      </c>
      <c r="G1989" s="358">
        <f>TRUNC(E1989*F1989,2)</f>
        <v>3.68</v>
      </c>
    </row>
    <row r="1990" spans="1:8" ht="14.1" customHeight="1">
      <c r="A1990" s="1142"/>
      <c r="B1990" s="1130"/>
      <c r="C1990" s="293" t="s">
        <v>87</v>
      </c>
      <c r="D1990" s="1131"/>
      <c r="E1990" s="1163"/>
      <c r="F1990" s="298">
        <f>'COMP AUX'!G105</f>
        <v>4.7300000000000004</v>
      </c>
      <c r="G1990" s="296">
        <f>TRUNC(E1989*F1990,2)</f>
        <v>1.56</v>
      </c>
    </row>
    <row r="1991" spans="1:8" ht="14.1" customHeight="1">
      <c r="A1991" s="1159">
        <v>88310</v>
      </c>
      <c r="B1991" s="1129" t="s">
        <v>995</v>
      </c>
      <c r="C1991" s="293" t="s">
        <v>104</v>
      </c>
      <c r="D1991" s="1155" t="s">
        <v>383</v>
      </c>
      <c r="E1991" s="1162">
        <v>0.5</v>
      </c>
      <c r="F1991" s="298">
        <f>'COMP AUX'!G236</f>
        <v>14.96</v>
      </c>
      <c r="G1991" s="312">
        <f t="shared" ref="G1991" si="74">TRUNC(E1991*F1991,2)</f>
        <v>7.48</v>
      </c>
    </row>
    <row r="1992" spans="1:8" ht="14.1" customHeight="1">
      <c r="A1992" s="1160"/>
      <c r="B1992" s="1130"/>
      <c r="C1992" s="293" t="s">
        <v>87</v>
      </c>
      <c r="D1992" s="1156"/>
      <c r="E1992" s="1163"/>
      <c r="F1992" s="298">
        <f>'COMP AUX'!G237</f>
        <v>5.96</v>
      </c>
      <c r="G1992" s="312">
        <f>TRUNC(E1991*F1992,2)</f>
        <v>2.98</v>
      </c>
    </row>
    <row r="1993" spans="1:8" ht="26.25" customHeight="1">
      <c r="A1993" s="565" t="s">
        <v>2268</v>
      </c>
      <c r="B1993" s="586" t="s">
        <v>2269</v>
      </c>
      <c r="C1993" s="293" t="s">
        <v>87</v>
      </c>
      <c r="D1993" s="541" t="s">
        <v>1207</v>
      </c>
      <c r="E1993" s="595">
        <v>0.35</v>
      </c>
      <c r="F1993" s="298">
        <v>7.11</v>
      </c>
      <c r="G1993" s="312">
        <f t="shared" ref="G1993" si="75">TRUNC(E1993*F1993,2)</f>
        <v>2.48</v>
      </c>
    </row>
    <row r="1994" spans="1:8" ht="14.1" customHeight="1">
      <c r="F1994" s="360" t="s">
        <v>90</v>
      </c>
      <c r="G1994" s="322">
        <f>G1989+G1991</f>
        <v>11.16</v>
      </c>
    </row>
    <row r="1995" spans="1:8" ht="14.1" customHeight="1">
      <c r="F1995" s="301" t="s">
        <v>92</v>
      </c>
      <c r="G1995" s="312">
        <f>G1990+G1992+G1993</f>
        <v>7.02</v>
      </c>
    </row>
    <row r="1996" spans="1:8" ht="14.1" customHeight="1">
      <c r="A1996" s="122" t="s">
        <v>94</v>
      </c>
      <c r="F1996" s="301" t="s">
        <v>93</v>
      </c>
      <c r="G1996" s="820">
        <f>SUM(G1994:G1995)</f>
        <v>18.18</v>
      </c>
    </row>
    <row r="1997" spans="1:8" ht="14.1" customHeight="1">
      <c r="A1997" s="300" t="s">
        <v>95</v>
      </c>
      <c r="B1997" s="385">
        <f>G1996</f>
        <v>18.18</v>
      </c>
    </row>
    <row r="1998" spans="1:8" ht="14.1" customHeight="1">
      <c r="A1998" s="382" t="s">
        <v>2272</v>
      </c>
      <c r="B1998" s="381"/>
    </row>
    <row r="1999" spans="1:8" ht="14.1" customHeight="1">
      <c r="A1999" s="443" t="s">
        <v>2311</v>
      </c>
      <c r="B1999" s="381">
        <f>(B1997+B1998)*0.245</f>
        <v>4.4540999999999995</v>
      </c>
    </row>
    <row r="2000" spans="1:8" ht="14.1" customHeight="1">
      <c r="A2000" s="300" t="s">
        <v>98</v>
      </c>
      <c r="B2000" s="386">
        <f>SUM(B1997:B1999)</f>
        <v>22.6341</v>
      </c>
      <c r="H2000" s="394"/>
    </row>
    <row r="2001" spans="1:8" ht="11.25" customHeight="1">
      <c r="A2001" s="362"/>
      <c r="B2001" s="363"/>
      <c r="C2001" s="364"/>
      <c r="D2001" s="362"/>
      <c r="E2001" s="363"/>
      <c r="F2001" s="363"/>
      <c r="G2001" s="363"/>
      <c r="H2001" s="362"/>
    </row>
    <row r="2002" spans="1:8" ht="11.25" customHeight="1"/>
    <row r="2003" spans="1:8" ht="11.25" customHeight="1">
      <c r="A2003" s="826" t="s">
        <v>2709</v>
      </c>
    </row>
    <row r="2004" spans="1:8" ht="11.25" customHeight="1">
      <c r="A2004" s="148" t="s">
        <v>2625</v>
      </c>
    </row>
    <row r="2005" spans="1:8" ht="26.25" customHeight="1">
      <c r="A2005" s="352" t="s">
        <v>1450</v>
      </c>
      <c r="B2005" s="352" t="s">
        <v>2624</v>
      </c>
      <c r="C2005" s="290" t="s">
        <v>1487</v>
      </c>
      <c r="F2005" s="122"/>
      <c r="G2005" s="353"/>
    </row>
    <row r="2006" spans="1:8" ht="26.25" customHeight="1">
      <c r="A2006" s="309" t="s">
        <v>30</v>
      </c>
      <c r="B2006" s="354" t="s">
        <v>19</v>
      </c>
      <c r="C2006" s="293" t="s">
        <v>81</v>
      </c>
      <c r="D2006" s="294" t="s">
        <v>77</v>
      </c>
      <c r="E2006" s="294" t="s">
        <v>82</v>
      </c>
      <c r="F2006" s="295" t="s">
        <v>83</v>
      </c>
      <c r="G2006" s="355" t="s">
        <v>84</v>
      </c>
    </row>
    <row r="2007" spans="1:8" ht="14.1" customHeight="1">
      <c r="A2007" s="1141">
        <v>88241</v>
      </c>
      <c r="B2007" s="1129" t="s">
        <v>1466</v>
      </c>
      <c r="C2007" s="293" t="s">
        <v>104</v>
      </c>
      <c r="D2007" s="1131" t="s">
        <v>383</v>
      </c>
      <c r="E2007" s="1162">
        <v>0.3</v>
      </c>
      <c r="F2007" s="825">
        <f>'COMP AUX'!G53</f>
        <v>10.76</v>
      </c>
      <c r="G2007" s="358">
        <f>TRUNC(E2007*F2007,2)</f>
        <v>3.22</v>
      </c>
    </row>
    <row r="2008" spans="1:8" ht="14.1" customHeight="1">
      <c r="A2008" s="1142"/>
      <c r="B2008" s="1130"/>
      <c r="C2008" s="293" t="s">
        <v>87</v>
      </c>
      <c r="D2008" s="1131"/>
      <c r="E2008" s="1163"/>
      <c r="F2008" s="825">
        <f>'COMP AUX'!G54</f>
        <v>4.79</v>
      </c>
      <c r="G2008" s="296">
        <f>TRUNC(E2007*F2008,2)</f>
        <v>1.43</v>
      </c>
    </row>
    <row r="2009" spans="1:8" ht="14.1" customHeight="1">
      <c r="A2009" s="1159">
        <v>88310</v>
      </c>
      <c r="B2009" s="1129" t="s">
        <v>995</v>
      </c>
      <c r="C2009" s="293" t="s">
        <v>104</v>
      </c>
      <c r="D2009" s="1155" t="s">
        <v>383</v>
      </c>
      <c r="E2009" s="1162">
        <v>0.5</v>
      </c>
      <c r="F2009" s="825">
        <f>'COMP AUX'!G236</f>
        <v>14.96</v>
      </c>
      <c r="G2009" s="312">
        <f t="shared" ref="G2009" si="76">TRUNC(E2009*F2009,2)</f>
        <v>7.48</v>
      </c>
    </row>
    <row r="2010" spans="1:8" ht="14.1" customHeight="1">
      <c r="A2010" s="1160"/>
      <c r="B2010" s="1130"/>
      <c r="C2010" s="293" t="s">
        <v>87</v>
      </c>
      <c r="D2010" s="1156"/>
      <c r="E2010" s="1163"/>
      <c r="F2010" s="825">
        <f>'COMP AUX'!G237</f>
        <v>5.96</v>
      </c>
      <c r="G2010" s="312">
        <f>TRUNC(E2009*F2010,2)</f>
        <v>2.98</v>
      </c>
    </row>
    <row r="2011" spans="1:8" ht="14.1" customHeight="1">
      <c r="A2011" s="565">
        <v>5318</v>
      </c>
      <c r="B2011" s="331" t="s">
        <v>2201</v>
      </c>
      <c r="C2011" s="293" t="s">
        <v>87</v>
      </c>
      <c r="D2011" s="541" t="s">
        <v>1207</v>
      </c>
      <c r="E2011" s="540">
        <v>0.03</v>
      </c>
      <c r="F2011" s="825">
        <v>12.42</v>
      </c>
      <c r="G2011" s="312">
        <f t="shared" ref="G2011:G2013" si="77">TRUNC(E2011*F2011,2)</f>
        <v>0.37</v>
      </c>
    </row>
    <row r="2012" spans="1:8" ht="14.1" customHeight="1">
      <c r="A2012" s="565">
        <v>3768</v>
      </c>
      <c r="B2012" s="331" t="s">
        <v>2231</v>
      </c>
      <c r="C2012" s="293" t="s">
        <v>87</v>
      </c>
      <c r="D2012" s="541" t="s">
        <v>77</v>
      </c>
      <c r="E2012" s="540">
        <v>0.25</v>
      </c>
      <c r="F2012" s="825">
        <v>2.67</v>
      </c>
      <c r="G2012" s="312">
        <f t="shared" si="77"/>
        <v>0.66</v>
      </c>
    </row>
    <row r="2013" spans="1:8" ht="14.1" customHeight="1">
      <c r="A2013" s="565">
        <v>7288</v>
      </c>
      <c r="B2013" s="331" t="s">
        <v>2232</v>
      </c>
      <c r="C2013" s="293" t="s">
        <v>87</v>
      </c>
      <c r="D2013" s="541" t="s">
        <v>1207</v>
      </c>
      <c r="E2013" s="540">
        <v>0.15</v>
      </c>
      <c r="F2013" s="825">
        <v>26.22</v>
      </c>
      <c r="G2013" s="312">
        <f t="shared" si="77"/>
        <v>3.93</v>
      </c>
    </row>
    <row r="2014" spans="1:8" ht="14.1" customHeight="1">
      <c r="A2014" s="565">
        <v>11174</v>
      </c>
      <c r="B2014" s="586" t="s">
        <v>2626</v>
      </c>
      <c r="C2014" s="293" t="s">
        <v>87</v>
      </c>
      <c r="D2014" s="541" t="s">
        <v>1207</v>
      </c>
      <c r="E2014" s="540">
        <v>0.1</v>
      </c>
      <c r="F2014" s="825">
        <v>27.69</v>
      </c>
      <c r="G2014" s="312">
        <f t="shared" ref="G2014" si="78">TRUNC(E2014*F2014,2)</f>
        <v>2.76</v>
      </c>
    </row>
    <row r="2015" spans="1:8" ht="14.1" customHeight="1">
      <c r="F2015" s="360" t="s">
        <v>90</v>
      </c>
      <c r="G2015" s="322">
        <f>G2007+G2009</f>
        <v>10.700000000000001</v>
      </c>
    </row>
    <row r="2016" spans="1:8" ht="14.1" customHeight="1">
      <c r="F2016" s="301" t="s">
        <v>92</v>
      </c>
      <c r="G2016" s="312">
        <f>G2008+G2010+G2011+G2012+G2013+G2014</f>
        <v>12.13</v>
      </c>
    </row>
    <row r="2017" spans="1:9" ht="14.1" customHeight="1">
      <c r="A2017" s="122" t="s">
        <v>94</v>
      </c>
      <c r="F2017" s="301" t="s">
        <v>93</v>
      </c>
      <c r="G2017" s="820">
        <f>SUM(G2015:G2016)</f>
        <v>22.830000000000002</v>
      </c>
    </row>
    <row r="2018" spans="1:9" ht="14.1" customHeight="1">
      <c r="A2018" s="300" t="s">
        <v>95</v>
      </c>
      <c r="B2018" s="385">
        <f>G2017</f>
        <v>22.830000000000002</v>
      </c>
    </row>
    <row r="2019" spans="1:9" ht="14.1" customHeight="1">
      <c r="A2019" s="382" t="s">
        <v>2272</v>
      </c>
      <c r="B2019" s="381"/>
    </row>
    <row r="2020" spans="1:9" ht="14.1" customHeight="1">
      <c r="A2020" s="443" t="s">
        <v>2311</v>
      </c>
      <c r="B2020" s="381">
        <f>(B2018+B2019)*0.245</f>
        <v>5.59335</v>
      </c>
    </row>
    <row r="2021" spans="1:9" ht="14.1" customHeight="1">
      <c r="A2021" s="300" t="s">
        <v>98</v>
      </c>
      <c r="B2021" s="386">
        <f>SUM(B2018:B2020)</f>
        <v>28.423350000000003</v>
      </c>
      <c r="H2021" s="394"/>
      <c r="I2021" s="122" t="s">
        <v>2277</v>
      </c>
    </row>
    <row r="2022" spans="1:9" ht="11.25" customHeight="1">
      <c r="A2022" s="362"/>
      <c r="B2022" s="363"/>
      <c r="C2022" s="364"/>
      <c r="D2022" s="362"/>
      <c r="E2022" s="363"/>
      <c r="F2022" s="363"/>
      <c r="G2022" s="363"/>
      <c r="H2022" s="362"/>
    </row>
    <row r="2023" spans="1:9" ht="11.25" customHeight="1"/>
    <row r="2024" spans="1:9" ht="11.25" customHeight="1">
      <c r="A2024" s="826" t="s">
        <v>2709</v>
      </c>
    </row>
    <row r="2025" spans="1:9" ht="11.25" customHeight="1">
      <c r="A2025" s="148" t="s">
        <v>2619</v>
      </c>
    </row>
    <row r="2026" spans="1:9" ht="18.75" customHeight="1">
      <c r="A2026" s="352" t="s">
        <v>1450</v>
      </c>
      <c r="B2026" s="1161" t="s">
        <v>2620</v>
      </c>
      <c r="C2026" s="1161"/>
      <c r="D2026" s="290" t="s">
        <v>1487</v>
      </c>
      <c r="F2026" s="122"/>
      <c r="G2026" s="353"/>
    </row>
    <row r="2027" spans="1:9" ht="24.75" customHeight="1">
      <c r="A2027" s="309" t="s">
        <v>30</v>
      </c>
      <c r="B2027" s="354" t="s">
        <v>19</v>
      </c>
      <c r="C2027" s="293" t="s">
        <v>81</v>
      </c>
      <c r="D2027" s="294" t="s">
        <v>77</v>
      </c>
      <c r="E2027" s="294" t="s">
        <v>82</v>
      </c>
      <c r="F2027" s="295" t="s">
        <v>83</v>
      </c>
      <c r="G2027" s="355" t="s">
        <v>84</v>
      </c>
    </row>
    <row r="2028" spans="1:9" ht="14.1" customHeight="1">
      <c r="A2028" s="1141">
        <v>88316</v>
      </c>
      <c r="B2028" s="1129" t="s">
        <v>110</v>
      </c>
      <c r="C2028" s="293" t="s">
        <v>104</v>
      </c>
      <c r="D2028" s="1131" t="s">
        <v>383</v>
      </c>
      <c r="E2028" s="1162">
        <v>0.12</v>
      </c>
      <c r="F2028" s="825">
        <f>'COMP AUX'!G104</f>
        <v>11.18</v>
      </c>
      <c r="G2028" s="358">
        <f>TRUNC(E2028*F2028,2)</f>
        <v>1.34</v>
      </c>
    </row>
    <row r="2029" spans="1:9" ht="14.1" customHeight="1">
      <c r="A2029" s="1142"/>
      <c r="B2029" s="1130"/>
      <c r="C2029" s="293" t="s">
        <v>87</v>
      </c>
      <c r="D2029" s="1131"/>
      <c r="E2029" s="1163"/>
      <c r="F2029" s="825">
        <f>'COMP AUX'!G105</f>
        <v>4.7300000000000004</v>
      </c>
      <c r="G2029" s="296">
        <f>TRUNC(E2028*F2029,2)</f>
        <v>0.56000000000000005</v>
      </c>
    </row>
    <row r="2030" spans="1:9" ht="14.1" customHeight="1">
      <c r="A2030" s="1240">
        <v>88256</v>
      </c>
      <c r="B2030" s="1129" t="s">
        <v>2233</v>
      </c>
      <c r="C2030" s="293" t="s">
        <v>104</v>
      </c>
      <c r="D2030" s="1155" t="s">
        <v>383</v>
      </c>
      <c r="E2030" s="1162">
        <v>0.35</v>
      </c>
      <c r="F2030" s="825">
        <f>'COMP AUX'!G355</f>
        <v>14.96</v>
      </c>
      <c r="G2030" s="312">
        <f t="shared" ref="G2030" si="79">TRUNC(E2030*F2030,2)</f>
        <v>5.23</v>
      </c>
    </row>
    <row r="2031" spans="1:9" ht="14.1" customHeight="1">
      <c r="A2031" s="1241"/>
      <c r="B2031" s="1130"/>
      <c r="C2031" s="293" t="s">
        <v>87</v>
      </c>
      <c r="D2031" s="1156"/>
      <c r="E2031" s="1163"/>
      <c r="F2031" s="825">
        <f>'COMP AUX'!G356</f>
        <v>4.79</v>
      </c>
      <c r="G2031" s="312">
        <f>TRUNC(E2030*F2031,2)</f>
        <v>1.67</v>
      </c>
    </row>
    <row r="2032" spans="1:9" ht="27.75" customHeight="1">
      <c r="A2032" s="565">
        <v>10515</v>
      </c>
      <c r="B2032" s="331" t="s">
        <v>2623</v>
      </c>
      <c r="C2032" s="293" t="s">
        <v>87</v>
      </c>
      <c r="D2032" s="541" t="s">
        <v>1487</v>
      </c>
      <c r="E2032" s="540">
        <v>1.1000000000000001</v>
      </c>
      <c r="F2032" s="825">
        <v>27.24</v>
      </c>
      <c r="G2032" s="312">
        <f>TRUNC(E2032*F2032,2)</f>
        <v>29.96</v>
      </c>
    </row>
    <row r="2033" spans="1:9" ht="14.1" customHeight="1">
      <c r="A2033" s="565">
        <v>11849</v>
      </c>
      <c r="B2033" s="331" t="s">
        <v>2621</v>
      </c>
      <c r="C2033" s="293" t="s">
        <v>87</v>
      </c>
      <c r="D2033" s="541" t="s">
        <v>1207</v>
      </c>
      <c r="E2033" s="540">
        <v>0.9</v>
      </c>
      <c r="F2033" s="825">
        <v>8.6</v>
      </c>
      <c r="G2033" s="312">
        <f t="shared" ref="G2033" si="80">TRUNC(E2033*F2033,2)</f>
        <v>7.74</v>
      </c>
    </row>
    <row r="2034" spans="1:9" ht="14.1" customHeight="1">
      <c r="F2034" s="360" t="s">
        <v>90</v>
      </c>
      <c r="G2034" s="322">
        <f>G2028+G2030</f>
        <v>6.57</v>
      </c>
    </row>
    <row r="2035" spans="1:9" ht="14.1" customHeight="1">
      <c r="F2035" s="301" t="s">
        <v>92</v>
      </c>
      <c r="G2035" s="312">
        <f>G2029+G2031+G2032+G2033</f>
        <v>39.93</v>
      </c>
    </row>
    <row r="2036" spans="1:9" ht="14.1" customHeight="1">
      <c r="A2036" s="122" t="s">
        <v>94</v>
      </c>
      <c r="F2036" s="301" t="s">
        <v>93</v>
      </c>
      <c r="G2036" s="820">
        <f>SUM(G2034:G2035)</f>
        <v>46.5</v>
      </c>
    </row>
    <row r="2037" spans="1:9" ht="14.1" customHeight="1">
      <c r="A2037" s="300" t="s">
        <v>95</v>
      </c>
      <c r="B2037" s="385">
        <f>G2036</f>
        <v>46.5</v>
      </c>
    </row>
    <row r="2038" spans="1:9" ht="14.1" customHeight="1">
      <c r="A2038" s="382" t="s">
        <v>2272</v>
      </c>
      <c r="B2038" s="381"/>
    </row>
    <row r="2039" spans="1:9" ht="14.1" customHeight="1">
      <c r="A2039" s="443" t="s">
        <v>2311</v>
      </c>
      <c r="B2039" s="381">
        <f>(B2037+B2038)*0.245</f>
        <v>11.3925</v>
      </c>
    </row>
    <row r="2040" spans="1:9" ht="14.1" customHeight="1">
      <c r="A2040" s="300" t="s">
        <v>98</v>
      </c>
      <c r="B2040" s="386">
        <f>SUM(B2037:B2039)</f>
        <v>57.892499999999998</v>
      </c>
      <c r="H2040" s="394"/>
      <c r="I2040" s="122" t="s">
        <v>2277</v>
      </c>
    </row>
    <row r="2041" spans="1:9" ht="11.25" customHeight="1">
      <c r="A2041" s="362"/>
      <c r="B2041" s="363"/>
      <c r="C2041" s="364"/>
      <c r="D2041" s="362"/>
      <c r="E2041" s="363"/>
      <c r="F2041" s="363"/>
      <c r="G2041" s="363"/>
      <c r="H2041" s="362"/>
    </row>
    <row r="2042" spans="1:9" ht="11.25" customHeight="1"/>
    <row r="2043" spans="1:9" ht="11.25" customHeight="1">
      <c r="A2043" s="122" t="s">
        <v>1194</v>
      </c>
    </row>
    <row r="2044" spans="1:9" ht="11.25" customHeight="1">
      <c r="A2044" s="148" t="s">
        <v>2630</v>
      </c>
    </row>
    <row r="2045" spans="1:9" ht="15" customHeight="1">
      <c r="A2045" s="352" t="s">
        <v>1450</v>
      </c>
      <c r="B2045" s="352" t="s">
        <v>2629</v>
      </c>
      <c r="C2045" s="290" t="s">
        <v>1487</v>
      </c>
      <c r="F2045" s="122"/>
      <c r="G2045" s="353"/>
    </row>
    <row r="2046" spans="1:9" ht="24" customHeight="1">
      <c r="A2046" s="309" t="s">
        <v>30</v>
      </c>
      <c r="B2046" s="354" t="s">
        <v>19</v>
      </c>
      <c r="C2046" s="293" t="s">
        <v>81</v>
      </c>
      <c r="D2046" s="294" t="s">
        <v>77</v>
      </c>
      <c r="E2046" s="294" t="s">
        <v>82</v>
      </c>
      <c r="F2046" s="295" t="s">
        <v>83</v>
      </c>
      <c r="G2046" s="355" t="s">
        <v>84</v>
      </c>
    </row>
    <row r="2047" spans="1:9" ht="14.1" customHeight="1">
      <c r="A2047" s="1141" t="s">
        <v>1322</v>
      </c>
      <c r="B2047" s="1129" t="s">
        <v>110</v>
      </c>
      <c r="C2047" s="293" t="s">
        <v>104</v>
      </c>
      <c r="D2047" s="1131" t="s">
        <v>383</v>
      </c>
      <c r="E2047" s="1162">
        <v>0.23</v>
      </c>
      <c r="F2047" s="825">
        <f>'COMP AUX'!G104</f>
        <v>11.18</v>
      </c>
      <c r="G2047" s="358">
        <f>TRUNC(E2047*F2047,2)</f>
        <v>2.57</v>
      </c>
    </row>
    <row r="2048" spans="1:9" ht="14.1" customHeight="1">
      <c r="A2048" s="1142"/>
      <c r="B2048" s="1130"/>
      <c r="C2048" s="293" t="s">
        <v>87</v>
      </c>
      <c r="D2048" s="1131"/>
      <c r="E2048" s="1163"/>
      <c r="F2048" s="825">
        <f>'COMP AUX'!G105</f>
        <v>4.7300000000000004</v>
      </c>
      <c r="G2048" s="296">
        <f>TRUNC(E2047*F2048,2)</f>
        <v>1.08</v>
      </c>
    </row>
    <row r="2049" spans="1:9" ht="14.1" customHeight="1">
      <c r="A2049" s="1159">
        <v>88310</v>
      </c>
      <c r="B2049" s="1129" t="s">
        <v>2233</v>
      </c>
      <c r="C2049" s="293" t="s">
        <v>104</v>
      </c>
      <c r="D2049" s="1155" t="s">
        <v>383</v>
      </c>
      <c r="E2049" s="1162">
        <v>0.23</v>
      </c>
      <c r="F2049" s="825">
        <f>'COMP AUX'!G355</f>
        <v>14.96</v>
      </c>
      <c r="G2049" s="312">
        <f t="shared" ref="G2049" si="81">TRUNC(E2049*F2049,2)</f>
        <v>3.44</v>
      </c>
    </row>
    <row r="2050" spans="1:9" ht="14.1" customHeight="1">
      <c r="A2050" s="1160"/>
      <c r="B2050" s="1130"/>
      <c r="C2050" s="293" t="s">
        <v>87</v>
      </c>
      <c r="D2050" s="1156"/>
      <c r="E2050" s="1163"/>
      <c r="F2050" s="825">
        <f>'COMP AUX'!G356</f>
        <v>4.79</v>
      </c>
      <c r="G2050" s="312">
        <f>TRUNC(E2049*F2050,2)</f>
        <v>1.1000000000000001</v>
      </c>
    </row>
    <row r="2051" spans="1:9" ht="14.1" customHeight="1">
      <c r="A2051" s="565">
        <v>37329</v>
      </c>
      <c r="B2051" s="331" t="s">
        <v>243</v>
      </c>
      <c r="C2051" s="293" t="s">
        <v>87</v>
      </c>
      <c r="D2051" s="541" t="s">
        <v>1319</v>
      </c>
      <c r="E2051" s="540">
        <v>0.65</v>
      </c>
      <c r="F2051" s="825">
        <v>57.59</v>
      </c>
      <c r="G2051" s="312">
        <f>TRUNC(E2051*F2051,2)</f>
        <v>37.43</v>
      </c>
    </row>
    <row r="2052" spans="1:9" ht="14.1" customHeight="1">
      <c r="F2052" s="360" t="s">
        <v>90</v>
      </c>
      <c r="G2052" s="322">
        <f>G2047+G2049</f>
        <v>6.01</v>
      </c>
    </row>
    <row r="2053" spans="1:9" ht="14.1" customHeight="1">
      <c r="F2053" s="301" t="s">
        <v>92</v>
      </c>
      <c r="G2053" s="312">
        <f>G2048+G2050+G2051</f>
        <v>39.61</v>
      </c>
    </row>
    <row r="2054" spans="1:9" ht="14.1" customHeight="1">
      <c r="A2054" s="122" t="s">
        <v>94</v>
      </c>
      <c r="F2054" s="301" t="s">
        <v>93</v>
      </c>
      <c r="G2054" s="820">
        <f>SUM(G2052:G2053)</f>
        <v>45.62</v>
      </c>
    </row>
    <row r="2055" spans="1:9" ht="14.1" customHeight="1">
      <c r="A2055" s="300" t="s">
        <v>95</v>
      </c>
      <c r="B2055" s="385">
        <f>G2054</f>
        <v>45.62</v>
      </c>
    </row>
    <row r="2056" spans="1:9" ht="14.1" customHeight="1">
      <c r="A2056" s="382" t="s">
        <v>2272</v>
      </c>
      <c r="B2056" s="381"/>
    </row>
    <row r="2057" spans="1:9" ht="14.1" customHeight="1">
      <c r="A2057" s="443" t="s">
        <v>2311</v>
      </c>
      <c r="B2057" s="381">
        <f>(B2055+B2056)*0.245</f>
        <v>11.1769</v>
      </c>
    </row>
    <row r="2058" spans="1:9" ht="14.1" customHeight="1">
      <c r="A2058" s="300" t="s">
        <v>98</v>
      </c>
      <c r="B2058" s="386">
        <f>SUM(B2055:B2057)</f>
        <v>56.796899999999994</v>
      </c>
      <c r="H2058" s="394"/>
      <c r="I2058" s="122" t="s">
        <v>2277</v>
      </c>
    </row>
    <row r="2059" spans="1:9" ht="11.25" customHeight="1">
      <c r="A2059" s="362"/>
      <c r="B2059" s="363"/>
      <c r="C2059" s="364"/>
      <c r="D2059" s="362"/>
      <c r="E2059" s="363"/>
      <c r="F2059" s="363"/>
      <c r="G2059" s="363"/>
      <c r="H2059" s="362"/>
    </row>
    <row r="2060" spans="1:9" ht="11.25" customHeight="1"/>
    <row r="2061" spans="1:9" ht="11.25" customHeight="1">
      <c r="A2061" s="122" t="s">
        <v>1194</v>
      </c>
    </row>
    <row r="2062" spans="1:9" ht="11.25" customHeight="1">
      <c r="A2062" s="148" t="s">
        <v>2234</v>
      </c>
    </row>
    <row r="2063" spans="1:9" ht="28.5" customHeight="1">
      <c r="A2063" s="352" t="s">
        <v>1450</v>
      </c>
      <c r="B2063" s="1161" t="s">
        <v>2235</v>
      </c>
      <c r="C2063" s="1161"/>
      <c r="D2063" s="608" t="s">
        <v>1487</v>
      </c>
      <c r="F2063" s="122"/>
      <c r="G2063" s="353"/>
    </row>
    <row r="2064" spans="1:9" ht="21.75" customHeight="1">
      <c r="A2064" s="309" t="s">
        <v>30</v>
      </c>
      <c r="B2064" s="354" t="s">
        <v>19</v>
      </c>
      <c r="C2064" s="293" t="s">
        <v>81</v>
      </c>
      <c r="D2064" s="294" t="s">
        <v>77</v>
      </c>
      <c r="E2064" s="294" t="s">
        <v>82</v>
      </c>
      <c r="F2064" s="295" t="s">
        <v>83</v>
      </c>
      <c r="G2064" s="355" t="s">
        <v>84</v>
      </c>
    </row>
    <row r="2065" spans="1:7" ht="15" customHeight="1">
      <c r="A2065" s="1141">
        <v>88316</v>
      </c>
      <c r="B2065" s="1129" t="s">
        <v>110</v>
      </c>
      <c r="C2065" s="293" t="s">
        <v>104</v>
      </c>
      <c r="D2065" s="1131" t="s">
        <v>383</v>
      </c>
      <c r="E2065" s="1162">
        <v>11.5</v>
      </c>
      <c r="F2065" s="298">
        <f>'COMP AUX'!G104</f>
        <v>11.18</v>
      </c>
      <c r="G2065" s="358">
        <f>TRUNC(E2065*F2065,2)</f>
        <v>128.57</v>
      </c>
    </row>
    <row r="2066" spans="1:7" ht="15" customHeight="1">
      <c r="A2066" s="1142"/>
      <c r="B2066" s="1130"/>
      <c r="C2066" s="293" t="s">
        <v>87</v>
      </c>
      <c r="D2066" s="1131"/>
      <c r="E2066" s="1163"/>
      <c r="F2066" s="298">
        <f>'COMP AUX'!G105</f>
        <v>4.7300000000000004</v>
      </c>
      <c r="G2066" s="296">
        <f>TRUNC(E2065*F2066,2)</f>
        <v>54.39</v>
      </c>
    </row>
    <row r="2067" spans="1:7" ht="15" customHeight="1">
      <c r="A2067" s="1141">
        <v>88315</v>
      </c>
      <c r="B2067" s="1129" t="s">
        <v>1701</v>
      </c>
      <c r="C2067" s="293" t="s">
        <v>104</v>
      </c>
      <c r="D2067" s="1153" t="s">
        <v>383</v>
      </c>
      <c r="E2067" s="1162">
        <v>7</v>
      </c>
      <c r="F2067" s="298">
        <f>'COMP AUX'!G440</f>
        <v>14.99</v>
      </c>
      <c r="G2067" s="296">
        <f>TRUNC(E2067*F2067,2)</f>
        <v>104.93</v>
      </c>
    </row>
    <row r="2068" spans="1:7" ht="15" customHeight="1">
      <c r="A2068" s="1142"/>
      <c r="B2068" s="1130"/>
      <c r="C2068" s="293" t="s">
        <v>87</v>
      </c>
      <c r="D2068" s="1154"/>
      <c r="E2068" s="1163"/>
      <c r="F2068" s="298">
        <f>'COMP AUX'!G441</f>
        <v>4.79</v>
      </c>
      <c r="G2068" s="296">
        <f>TRUNC(E2067*F2068,2)</f>
        <v>33.53</v>
      </c>
    </row>
    <row r="2069" spans="1:7" ht="15" customHeight="1">
      <c r="A2069" s="1159">
        <v>88317</v>
      </c>
      <c r="B2069" s="1129" t="s">
        <v>1713</v>
      </c>
      <c r="C2069" s="293" t="s">
        <v>104</v>
      </c>
      <c r="D2069" s="1155" t="s">
        <v>383</v>
      </c>
      <c r="E2069" s="1162">
        <v>4.5</v>
      </c>
      <c r="F2069" s="298">
        <f>'COMP AUX'!G980</f>
        <v>14.620000000000001</v>
      </c>
      <c r="G2069" s="312">
        <f t="shared" ref="G2069" si="82">TRUNC(E2069*F2069,2)</f>
        <v>65.790000000000006</v>
      </c>
    </row>
    <row r="2070" spans="1:7" ht="15" customHeight="1">
      <c r="A2070" s="1160"/>
      <c r="B2070" s="1130"/>
      <c r="C2070" s="293" t="s">
        <v>87</v>
      </c>
      <c r="D2070" s="1156"/>
      <c r="E2070" s="1163"/>
      <c r="F2070" s="298">
        <f>'COMP AUX'!G981</f>
        <v>4.8499999999999996</v>
      </c>
      <c r="G2070" s="312">
        <f>TRUNC(E2069*F2070,2)</f>
        <v>21.82</v>
      </c>
    </row>
    <row r="2071" spans="1:7" ht="20.100000000000001" customHeight="1">
      <c r="A2071" s="1181" t="s">
        <v>1710</v>
      </c>
      <c r="B2071" s="1129" t="s">
        <v>1714</v>
      </c>
      <c r="C2071" s="293" t="s">
        <v>104</v>
      </c>
      <c r="D2071" s="1155" t="s">
        <v>1277</v>
      </c>
      <c r="E2071" s="1162">
        <v>3.82</v>
      </c>
      <c r="F2071" s="825">
        <v>19.37</v>
      </c>
      <c r="G2071" s="312">
        <f>TRUNC(E2071*F2071,2)</f>
        <v>73.989999999999995</v>
      </c>
    </row>
    <row r="2072" spans="1:7" ht="20.100000000000001" customHeight="1">
      <c r="A2072" s="1182"/>
      <c r="B2072" s="1130"/>
      <c r="C2072" s="293" t="s">
        <v>87</v>
      </c>
      <c r="D2072" s="1156"/>
      <c r="E2072" s="1163"/>
      <c r="F2072" s="825">
        <v>47.37</v>
      </c>
      <c r="G2072" s="312">
        <f>TRUNC(E2071*F2072,2)</f>
        <v>180.95</v>
      </c>
    </row>
    <row r="2073" spans="1:7" ht="20.100000000000001" customHeight="1">
      <c r="A2073" s="1181" t="s">
        <v>1711</v>
      </c>
      <c r="B2073" s="1129" t="s">
        <v>1715</v>
      </c>
      <c r="C2073" s="293" t="s">
        <v>104</v>
      </c>
      <c r="D2073" s="1155" t="s">
        <v>1256</v>
      </c>
      <c r="E2073" s="1162">
        <v>0.67</v>
      </c>
      <c r="F2073" s="825">
        <v>19.37</v>
      </c>
      <c r="G2073" s="312">
        <f>TRUNC(E2073*F2073,2)</f>
        <v>12.97</v>
      </c>
    </row>
    <row r="2074" spans="1:7" ht="20.100000000000001" customHeight="1">
      <c r="A2074" s="1182"/>
      <c r="B2074" s="1178"/>
      <c r="C2074" s="293" t="s">
        <v>87</v>
      </c>
      <c r="D2074" s="1156"/>
      <c r="E2074" s="1163"/>
      <c r="F2074" s="825">
        <v>8.14</v>
      </c>
      <c r="G2074" s="312">
        <f>TRUNC(E2073*F2074,2)</f>
        <v>5.45</v>
      </c>
    </row>
    <row r="2075" spans="1:7" ht="25.5" customHeight="1">
      <c r="A2075" s="565" t="s">
        <v>2236</v>
      </c>
      <c r="B2075" s="331" t="s">
        <v>2237</v>
      </c>
      <c r="C2075" s="293" t="s">
        <v>87</v>
      </c>
      <c r="D2075" s="541" t="s">
        <v>1487</v>
      </c>
      <c r="E2075" s="540">
        <v>1.1000000000000001</v>
      </c>
      <c r="F2075" s="825">
        <v>17.09</v>
      </c>
      <c r="G2075" s="312">
        <f>TRUNC(E2075*F2075,2)</f>
        <v>18.79</v>
      </c>
    </row>
    <row r="2076" spans="1:7" ht="26.25" customHeight="1">
      <c r="A2076" s="565" t="s">
        <v>2238</v>
      </c>
      <c r="B2076" s="331" t="s">
        <v>2239</v>
      </c>
      <c r="C2076" s="293" t="s">
        <v>87</v>
      </c>
      <c r="D2076" s="541" t="s">
        <v>391</v>
      </c>
      <c r="E2076" s="540">
        <v>1.4318</v>
      </c>
      <c r="F2076" s="825">
        <v>26.78</v>
      </c>
      <c r="G2076" s="312">
        <f t="shared" ref="G2076:G2078" si="83">TRUNC(E2076*F2076,2)</f>
        <v>38.340000000000003</v>
      </c>
    </row>
    <row r="2077" spans="1:7" ht="15" customHeight="1">
      <c r="A2077" s="565" t="s">
        <v>2240</v>
      </c>
      <c r="B2077" s="331" t="s">
        <v>2241</v>
      </c>
      <c r="C2077" s="293" t="s">
        <v>87</v>
      </c>
      <c r="D2077" s="541" t="s">
        <v>1319</v>
      </c>
      <c r="E2077" s="540">
        <v>3.37</v>
      </c>
      <c r="F2077" s="825">
        <v>12</v>
      </c>
      <c r="G2077" s="312">
        <f t="shared" si="83"/>
        <v>40.44</v>
      </c>
    </row>
    <row r="2078" spans="1:7" ht="27" customHeight="1">
      <c r="A2078" s="565" t="s">
        <v>2242</v>
      </c>
      <c r="B2078" s="586" t="s">
        <v>2243</v>
      </c>
      <c r="C2078" s="293" t="s">
        <v>87</v>
      </c>
      <c r="D2078" s="541" t="s">
        <v>391</v>
      </c>
      <c r="E2078" s="540">
        <v>6.7407000000000004</v>
      </c>
      <c r="F2078" s="825">
        <v>16.61</v>
      </c>
      <c r="G2078" s="312">
        <f t="shared" si="83"/>
        <v>111.96</v>
      </c>
    </row>
    <row r="2079" spans="1:7" ht="14.1" customHeight="1">
      <c r="F2079" s="360" t="s">
        <v>90</v>
      </c>
      <c r="G2079" s="322">
        <f>G2065+G2067+G2069+G2071+G2073</f>
        <v>386.25000000000006</v>
      </c>
    </row>
    <row r="2080" spans="1:7" ht="14.1" customHeight="1">
      <c r="F2080" s="301" t="s">
        <v>92</v>
      </c>
      <c r="G2080" s="312">
        <f>G2066+G2068+G2070+G2072+G2074+G2075+G2076+G2077+G2078</f>
        <v>505.66999999999996</v>
      </c>
    </row>
    <row r="2081" spans="1:8" ht="14.1" customHeight="1">
      <c r="A2081" s="122" t="s">
        <v>94</v>
      </c>
      <c r="F2081" s="301" t="s">
        <v>93</v>
      </c>
      <c r="G2081" s="820">
        <f>SUM(G2079:G2080)</f>
        <v>891.92000000000007</v>
      </c>
    </row>
    <row r="2082" spans="1:8" ht="14.1" customHeight="1">
      <c r="A2082" s="300" t="s">
        <v>95</v>
      </c>
      <c r="B2082" s="385">
        <f>G2081</f>
        <v>891.92000000000007</v>
      </c>
    </row>
    <row r="2083" spans="1:8" ht="14.1" customHeight="1">
      <c r="A2083" s="382" t="s">
        <v>2272</v>
      </c>
      <c r="B2083" s="381"/>
    </row>
    <row r="2084" spans="1:8" ht="14.1" customHeight="1">
      <c r="A2084" s="443" t="s">
        <v>2311</v>
      </c>
      <c r="B2084" s="381">
        <f>(B2082+B2083)*0.245</f>
        <v>218.52040000000002</v>
      </c>
    </row>
    <row r="2085" spans="1:8" ht="14.1" customHeight="1">
      <c r="A2085" s="300" t="s">
        <v>98</v>
      </c>
      <c r="B2085" s="467">
        <f>SUM(B2082:B2084)</f>
        <v>1110.4404000000002</v>
      </c>
      <c r="H2085" s="394"/>
    </row>
    <row r="2086" spans="1:8" ht="11.25" customHeight="1">
      <c r="A2086" s="362"/>
      <c r="B2086" s="363"/>
      <c r="C2086" s="364"/>
      <c r="D2086" s="362"/>
      <c r="E2086" s="363"/>
      <c r="F2086" s="363"/>
      <c r="G2086" s="363"/>
      <c r="H2086" s="362"/>
    </row>
    <row r="2087" spans="1:8" ht="11.25" customHeight="1"/>
    <row r="2088" spans="1:8" ht="11.25" customHeight="1">
      <c r="A2088" s="122" t="s">
        <v>1194</v>
      </c>
    </row>
    <row r="2089" spans="1:8" ht="11.25" customHeight="1">
      <c r="A2089" s="148" t="s">
        <v>2257</v>
      </c>
    </row>
    <row r="2090" spans="1:8" ht="39" customHeight="1">
      <c r="A2090" s="352" t="s">
        <v>1450</v>
      </c>
      <c r="B2090" s="1161" t="s">
        <v>2256</v>
      </c>
      <c r="C2090" s="1161"/>
      <c r="D2090" s="1161"/>
      <c r="E2090" s="494" t="s">
        <v>1487</v>
      </c>
      <c r="F2090" s="122"/>
      <c r="G2090" s="353"/>
    </row>
    <row r="2091" spans="1:8" ht="22.5" customHeight="1">
      <c r="A2091" s="309" t="s">
        <v>30</v>
      </c>
      <c r="B2091" s="354" t="s">
        <v>19</v>
      </c>
      <c r="C2091" s="293" t="s">
        <v>81</v>
      </c>
      <c r="D2091" s="294" t="s">
        <v>77</v>
      </c>
      <c r="E2091" s="294" t="s">
        <v>82</v>
      </c>
      <c r="F2091" s="295" t="s">
        <v>83</v>
      </c>
      <c r="G2091" s="355" t="s">
        <v>84</v>
      </c>
    </row>
    <row r="2092" spans="1:8" ht="14.1" customHeight="1">
      <c r="A2092" s="1141" t="s">
        <v>1322</v>
      </c>
      <c r="B2092" s="1129" t="s">
        <v>110</v>
      </c>
      <c r="C2092" s="293" t="s">
        <v>104</v>
      </c>
      <c r="D2092" s="1131" t="s">
        <v>383</v>
      </c>
      <c r="E2092" s="1162">
        <v>1</v>
      </c>
      <c r="F2092" s="298">
        <f>'COMP AUX'!G104</f>
        <v>11.18</v>
      </c>
      <c r="G2092" s="358">
        <f>TRUNC(E2092*F2092,2)</f>
        <v>11.18</v>
      </c>
    </row>
    <row r="2093" spans="1:8" ht="14.1" customHeight="1">
      <c r="A2093" s="1142"/>
      <c r="B2093" s="1130"/>
      <c r="C2093" s="293" t="s">
        <v>87</v>
      </c>
      <c r="D2093" s="1131"/>
      <c r="E2093" s="1163"/>
      <c r="F2093" s="298">
        <f>'COMP AUX'!G105</f>
        <v>4.7300000000000004</v>
      </c>
      <c r="G2093" s="296">
        <f>TRUNC(E2092*F2093,2)</f>
        <v>4.7300000000000004</v>
      </c>
    </row>
    <row r="2094" spans="1:8" ht="14.1" customHeight="1">
      <c r="A2094" s="1141">
        <v>88315</v>
      </c>
      <c r="B2094" s="1129" t="s">
        <v>1701</v>
      </c>
      <c r="C2094" s="293" t="s">
        <v>104</v>
      </c>
      <c r="D2094" s="1153" t="s">
        <v>383</v>
      </c>
      <c r="E2094" s="1162">
        <v>0.5</v>
      </c>
      <c r="F2094" s="298">
        <f>'COMP AUX'!G440</f>
        <v>14.99</v>
      </c>
      <c r="G2094" s="296">
        <f>TRUNC(E2094*F2094,2)</f>
        <v>7.49</v>
      </c>
    </row>
    <row r="2095" spans="1:8" ht="14.1" customHeight="1">
      <c r="A2095" s="1142"/>
      <c r="B2095" s="1130"/>
      <c r="C2095" s="293" t="s">
        <v>87</v>
      </c>
      <c r="D2095" s="1154"/>
      <c r="E2095" s="1163"/>
      <c r="F2095" s="298">
        <f>'COMP AUX'!G441</f>
        <v>4.79</v>
      </c>
      <c r="G2095" s="296">
        <f>TRUNC(E2094*F2095,2)</f>
        <v>2.39</v>
      </c>
    </row>
    <row r="2096" spans="1:8" ht="24.75" customHeight="1">
      <c r="A2096" s="565" t="s">
        <v>2236</v>
      </c>
      <c r="B2096" s="331" t="s">
        <v>2237</v>
      </c>
      <c r="C2096" s="293" t="s">
        <v>87</v>
      </c>
      <c r="D2096" s="541" t="s">
        <v>1487</v>
      </c>
      <c r="E2096" s="540">
        <v>1.05</v>
      </c>
      <c r="F2096" s="825">
        <v>17.09</v>
      </c>
      <c r="G2096" s="312">
        <f>TRUNC(E2096*F2096,2)</f>
        <v>17.940000000000001</v>
      </c>
    </row>
    <row r="2097" spans="1:8" ht="27.75" customHeight="1">
      <c r="A2097" s="565" t="s">
        <v>2258</v>
      </c>
      <c r="B2097" s="331" t="s">
        <v>2259</v>
      </c>
      <c r="C2097" s="293" t="s">
        <v>87</v>
      </c>
      <c r="D2097" s="541" t="s">
        <v>391</v>
      </c>
      <c r="E2097" s="540">
        <v>1.68</v>
      </c>
      <c r="F2097" s="825">
        <v>38.61</v>
      </c>
      <c r="G2097" s="312">
        <f t="shared" ref="G2097:G2099" si="84">TRUNC(E2097*F2097,2)</f>
        <v>64.86</v>
      </c>
    </row>
    <row r="2098" spans="1:8" ht="14.1" customHeight="1">
      <c r="A2098" s="565" t="s">
        <v>2260</v>
      </c>
      <c r="B2098" s="331" t="s">
        <v>2261</v>
      </c>
      <c r="C2098" s="293" t="s">
        <v>87</v>
      </c>
      <c r="D2098" s="541" t="s">
        <v>1319</v>
      </c>
      <c r="E2098" s="540">
        <v>7.0000000000000007E-2</v>
      </c>
      <c r="F2098" s="825">
        <v>14</v>
      </c>
      <c r="G2098" s="312">
        <f t="shared" si="84"/>
        <v>0.98</v>
      </c>
    </row>
    <row r="2099" spans="1:8" ht="14.1" customHeight="1">
      <c r="A2099" s="565" t="s">
        <v>2262</v>
      </c>
      <c r="B2099" s="586" t="s">
        <v>2263</v>
      </c>
      <c r="C2099" s="293" t="s">
        <v>87</v>
      </c>
      <c r="D2099" s="541" t="s">
        <v>391</v>
      </c>
      <c r="E2099" s="540">
        <v>0.15</v>
      </c>
      <c r="F2099" s="825">
        <v>12.1</v>
      </c>
      <c r="G2099" s="312">
        <f t="shared" si="84"/>
        <v>1.81</v>
      </c>
    </row>
    <row r="2100" spans="1:8" ht="14.1" customHeight="1">
      <c r="F2100" s="360" t="s">
        <v>90</v>
      </c>
      <c r="G2100" s="322">
        <f>G2092+G2094</f>
        <v>18.670000000000002</v>
      </c>
    </row>
    <row r="2101" spans="1:8" ht="14.1" customHeight="1">
      <c r="F2101" s="301" t="s">
        <v>92</v>
      </c>
      <c r="G2101" s="312">
        <f>G2093+G2095+G2096+G2097+G2098+G2099</f>
        <v>92.710000000000008</v>
      </c>
    </row>
    <row r="2102" spans="1:8" ht="14.1" customHeight="1">
      <c r="A2102" s="122" t="s">
        <v>94</v>
      </c>
      <c r="F2102" s="301" t="s">
        <v>93</v>
      </c>
      <c r="G2102" s="820">
        <f>SUM(G2100:G2101)</f>
        <v>111.38000000000001</v>
      </c>
    </row>
    <row r="2103" spans="1:8" ht="14.1" customHeight="1">
      <c r="A2103" s="300" t="s">
        <v>95</v>
      </c>
      <c r="B2103" s="385">
        <f>G2102</f>
        <v>111.38000000000001</v>
      </c>
    </row>
    <row r="2104" spans="1:8" ht="14.1" customHeight="1">
      <c r="A2104" s="382" t="s">
        <v>2272</v>
      </c>
      <c r="B2104" s="381"/>
    </row>
    <row r="2105" spans="1:8" ht="14.1" customHeight="1">
      <c r="A2105" s="443" t="s">
        <v>2311</v>
      </c>
      <c r="B2105" s="381">
        <f>(B2103+B2104)*0.245</f>
        <v>27.288100000000004</v>
      </c>
    </row>
    <row r="2106" spans="1:8" ht="14.1" customHeight="1">
      <c r="A2106" s="300" t="s">
        <v>98</v>
      </c>
      <c r="B2106" s="467">
        <f>SUM(B2103:B2105)</f>
        <v>138.66810000000001</v>
      </c>
      <c r="H2106" s="394"/>
    </row>
    <row r="2107" spans="1:8" ht="11.25" customHeight="1">
      <c r="A2107" s="362"/>
      <c r="B2107" s="363"/>
      <c r="C2107" s="364"/>
      <c r="D2107" s="362"/>
      <c r="E2107" s="363"/>
      <c r="F2107" s="363"/>
      <c r="G2107" s="363"/>
      <c r="H2107" s="362"/>
    </row>
    <row r="2108" spans="1:8" ht="11.25" customHeight="1"/>
    <row r="2109" spans="1:8" ht="11.25" customHeight="1">
      <c r="A2109" s="122" t="s">
        <v>1194</v>
      </c>
    </row>
    <row r="2110" spans="1:8" ht="11.25" customHeight="1">
      <c r="A2110" s="148" t="s">
        <v>2264</v>
      </c>
    </row>
    <row r="2111" spans="1:8" ht="15" customHeight="1">
      <c r="A2111" s="352" t="s">
        <v>1450</v>
      </c>
      <c r="B2111" s="352" t="s">
        <v>1190</v>
      </c>
      <c r="C2111" s="494" t="s">
        <v>1487</v>
      </c>
      <c r="D2111" s="352"/>
      <c r="F2111" s="122"/>
      <c r="G2111" s="353"/>
    </row>
    <row r="2112" spans="1:8" ht="21.75" customHeight="1">
      <c r="A2112" s="309" t="s">
        <v>30</v>
      </c>
      <c r="B2112" s="354" t="s">
        <v>19</v>
      </c>
      <c r="C2112" s="293" t="s">
        <v>81</v>
      </c>
      <c r="D2112" s="294" t="s">
        <v>77</v>
      </c>
      <c r="E2112" s="294" t="s">
        <v>82</v>
      </c>
      <c r="F2112" s="295" t="s">
        <v>83</v>
      </c>
      <c r="G2112" s="355" t="s">
        <v>84</v>
      </c>
    </row>
    <row r="2113" spans="1:8" ht="14.1" customHeight="1">
      <c r="A2113" s="1141" t="s">
        <v>1322</v>
      </c>
      <c r="B2113" s="1129" t="s">
        <v>110</v>
      </c>
      <c r="C2113" s="293" t="s">
        <v>104</v>
      </c>
      <c r="D2113" s="1131" t="s">
        <v>383</v>
      </c>
      <c r="E2113" s="1162">
        <v>0.14000000000000001</v>
      </c>
      <c r="F2113" s="298">
        <f>'COMP AUX'!G104</f>
        <v>11.18</v>
      </c>
      <c r="G2113" s="358">
        <f>TRUNC(E2113*F2113,2)</f>
        <v>1.56</v>
      </c>
    </row>
    <row r="2114" spans="1:8" ht="14.1" customHeight="1">
      <c r="A2114" s="1142"/>
      <c r="B2114" s="1130"/>
      <c r="C2114" s="293" t="s">
        <v>87</v>
      </c>
      <c r="D2114" s="1131"/>
      <c r="E2114" s="1163"/>
      <c r="F2114" s="298">
        <f>'COMP AUX'!G105</f>
        <v>4.7300000000000004</v>
      </c>
      <c r="G2114" s="296">
        <f>TRUNC(E2113*F2114,2)</f>
        <v>0.66</v>
      </c>
    </row>
    <row r="2115" spans="1:8" ht="14.1" customHeight="1">
      <c r="A2115" s="565" t="s">
        <v>285</v>
      </c>
      <c r="B2115" s="586" t="s">
        <v>2265</v>
      </c>
      <c r="C2115" s="293" t="s">
        <v>87</v>
      </c>
      <c r="D2115" s="541" t="s">
        <v>1207</v>
      </c>
      <c r="E2115" s="540">
        <v>0.05</v>
      </c>
      <c r="F2115" s="298">
        <v>3.26</v>
      </c>
      <c r="G2115" s="312">
        <f t="shared" ref="G2115" si="85">TRUNC(E2115*F2115,2)</f>
        <v>0.16</v>
      </c>
    </row>
    <row r="2116" spans="1:8" ht="14.1" customHeight="1">
      <c r="F2116" s="360" t="s">
        <v>90</v>
      </c>
      <c r="G2116" s="322">
        <f>G2113</f>
        <v>1.56</v>
      </c>
    </row>
    <row r="2117" spans="1:8" ht="14.1" customHeight="1">
      <c r="F2117" s="301" t="s">
        <v>92</v>
      </c>
      <c r="G2117" s="312">
        <f>G2114+G2115</f>
        <v>0.82000000000000006</v>
      </c>
    </row>
    <row r="2118" spans="1:8" ht="14.1" customHeight="1">
      <c r="A2118" s="122" t="s">
        <v>94</v>
      </c>
      <c r="F2118" s="301" t="s">
        <v>93</v>
      </c>
      <c r="G2118" s="820">
        <f>SUM(G2116:G2117)</f>
        <v>2.38</v>
      </c>
    </row>
    <row r="2119" spans="1:8" ht="14.1" customHeight="1">
      <c r="A2119" s="300" t="s">
        <v>95</v>
      </c>
      <c r="B2119" s="385">
        <f>G2118</f>
        <v>2.38</v>
      </c>
    </row>
    <row r="2120" spans="1:8" ht="14.1" customHeight="1">
      <c r="A2120" s="382" t="s">
        <v>2272</v>
      </c>
      <c r="B2120" s="381"/>
    </row>
    <row r="2121" spans="1:8" ht="14.1" customHeight="1">
      <c r="A2121" s="443" t="s">
        <v>2311</v>
      </c>
      <c r="B2121" s="381">
        <f>(B2119+B2120)*0.245</f>
        <v>0.58309999999999995</v>
      </c>
    </row>
    <row r="2122" spans="1:8" ht="14.1" customHeight="1">
      <c r="A2122" s="300" t="s">
        <v>98</v>
      </c>
      <c r="B2122" s="467">
        <f>SUM(B2119:B2121)</f>
        <v>2.9630999999999998</v>
      </c>
      <c r="H2122" s="394"/>
    </row>
    <row r="2123" spans="1:8" ht="11.25" customHeight="1">
      <c r="A2123" s="362"/>
      <c r="B2123" s="363"/>
      <c r="C2123" s="364"/>
      <c r="D2123" s="362"/>
      <c r="E2123" s="363"/>
      <c r="F2123" s="363"/>
      <c r="G2123" s="363"/>
      <c r="H2123" s="362"/>
    </row>
    <row r="2124" spans="1:8" ht="11.25" customHeight="1"/>
    <row r="2125" spans="1:8" ht="11.25" customHeight="1">
      <c r="A2125" s="122" t="s">
        <v>1194</v>
      </c>
    </row>
    <row r="2126" spans="1:8" ht="11.25" customHeight="1">
      <c r="A2126" s="148" t="s">
        <v>2613</v>
      </c>
    </row>
    <row r="2127" spans="1:8" ht="18.75" customHeight="1">
      <c r="A2127" s="352" t="s">
        <v>1450</v>
      </c>
      <c r="B2127" s="1161" t="s">
        <v>2614</v>
      </c>
      <c r="C2127" s="1161"/>
      <c r="D2127" s="1161"/>
      <c r="E2127" s="290" t="s">
        <v>391</v>
      </c>
      <c r="F2127" s="122"/>
      <c r="G2127" s="353"/>
    </row>
    <row r="2128" spans="1:8" ht="24.75" customHeight="1">
      <c r="A2128" s="309" t="s">
        <v>30</v>
      </c>
      <c r="B2128" s="354" t="s">
        <v>19</v>
      </c>
      <c r="C2128" s="293" t="s">
        <v>81</v>
      </c>
      <c r="D2128" s="294" t="s">
        <v>77</v>
      </c>
      <c r="E2128" s="294" t="s">
        <v>82</v>
      </c>
      <c r="F2128" s="295" t="s">
        <v>83</v>
      </c>
      <c r="G2128" s="355" t="s">
        <v>84</v>
      </c>
    </row>
    <row r="2129" spans="1:8" ht="15" customHeight="1">
      <c r="A2129" s="1127">
        <v>88247</v>
      </c>
      <c r="B2129" s="1177" t="s">
        <v>1038</v>
      </c>
      <c r="C2129" s="293" t="s">
        <v>104</v>
      </c>
      <c r="D2129" s="1131" t="s">
        <v>383</v>
      </c>
      <c r="E2129" s="1165">
        <v>0.10440000000000001</v>
      </c>
      <c r="F2129" s="825">
        <f>'COMP AUX'!G287</f>
        <v>10.98</v>
      </c>
      <c r="G2129" s="296">
        <f t="shared" ref="G2129:G2133" si="86">TRUNC(E2129*F2129,2)</f>
        <v>1.1399999999999999</v>
      </c>
    </row>
    <row r="2130" spans="1:8" ht="15" customHeight="1">
      <c r="A2130" s="1176"/>
      <c r="B2130" s="1178"/>
      <c r="C2130" s="293" t="s">
        <v>87</v>
      </c>
      <c r="D2130" s="1131"/>
      <c r="E2130" s="1166"/>
      <c r="F2130" s="825">
        <f>'COMP AUX'!G288</f>
        <v>4.75</v>
      </c>
      <c r="G2130" s="296">
        <f>TRUNC(E2129*F2130,2)</f>
        <v>0.49</v>
      </c>
    </row>
    <row r="2131" spans="1:8" ht="15" customHeight="1">
      <c r="A2131" s="1127">
        <v>88264</v>
      </c>
      <c r="B2131" s="1177" t="s">
        <v>279</v>
      </c>
      <c r="C2131" s="293" t="s">
        <v>104</v>
      </c>
      <c r="D2131" s="1131" t="s">
        <v>383</v>
      </c>
      <c r="E2131" s="1165">
        <v>0.10440000000000001</v>
      </c>
      <c r="F2131" s="825">
        <f>'COMP AUX'!G253</f>
        <v>15.71</v>
      </c>
      <c r="G2131" s="296">
        <f t="shared" si="86"/>
        <v>1.64</v>
      </c>
    </row>
    <row r="2132" spans="1:8" ht="15" customHeight="1">
      <c r="A2132" s="1128"/>
      <c r="B2132" s="1183"/>
      <c r="C2132" s="293" t="s">
        <v>87</v>
      </c>
      <c r="D2132" s="1131"/>
      <c r="E2132" s="1166"/>
      <c r="F2132" s="825">
        <f>'COMP AUX'!G254</f>
        <v>4.8099999999999996</v>
      </c>
      <c r="G2132" s="296">
        <f>TRUNC(E2131*F2132,2)</f>
        <v>0.5</v>
      </c>
    </row>
    <row r="2133" spans="1:8" ht="15" customHeight="1">
      <c r="A2133" s="1201">
        <v>95754</v>
      </c>
      <c r="B2133" s="1129" t="s">
        <v>2615</v>
      </c>
      <c r="C2133" s="293" t="s">
        <v>104</v>
      </c>
      <c r="D2133" s="1153" t="s">
        <v>1452</v>
      </c>
      <c r="E2133" s="1165">
        <v>0.33329999999999999</v>
      </c>
      <c r="F2133" s="825">
        <f>G2154</f>
        <v>3.6</v>
      </c>
      <c r="G2133" s="296">
        <f t="shared" si="86"/>
        <v>1.19</v>
      </c>
    </row>
    <row r="2134" spans="1:8" ht="15" customHeight="1">
      <c r="A2134" s="1201"/>
      <c r="B2134" s="1130"/>
      <c r="C2134" s="293" t="s">
        <v>87</v>
      </c>
      <c r="D2134" s="1154"/>
      <c r="E2134" s="1166"/>
      <c r="F2134" s="825">
        <f>G2155</f>
        <v>3.27</v>
      </c>
      <c r="G2134" s="296">
        <f>TRUNC(E2133*F2134,2)</f>
        <v>1.08</v>
      </c>
    </row>
    <row r="2135" spans="1:8" ht="27" customHeight="1">
      <c r="A2135" s="764" t="s">
        <v>2814</v>
      </c>
      <c r="B2135" s="345" t="s">
        <v>2815</v>
      </c>
      <c r="C2135" s="293" t="s">
        <v>87</v>
      </c>
      <c r="D2135" s="295" t="s">
        <v>391</v>
      </c>
      <c r="E2135" s="311">
        <v>1.1000000000000001</v>
      </c>
      <c r="F2135" s="825">
        <v>8.75</v>
      </c>
      <c r="G2135" s="312">
        <f t="shared" ref="G2135" si="87">TRUNC(E2135*F2135,2)</f>
        <v>9.6199999999999992</v>
      </c>
    </row>
    <row r="2136" spans="1:8" ht="14.1" customHeight="1">
      <c r="F2136" s="360" t="s">
        <v>90</v>
      </c>
      <c r="G2136" s="322">
        <f>G2129+G2131+G2133</f>
        <v>3.9699999999999998</v>
      </c>
    </row>
    <row r="2137" spans="1:8" ht="14.1" customHeight="1">
      <c r="F2137" s="301" t="s">
        <v>92</v>
      </c>
      <c r="G2137" s="312">
        <f>G2130+G2132+G2134+G2135</f>
        <v>11.69</v>
      </c>
    </row>
    <row r="2138" spans="1:8" ht="14.1" customHeight="1">
      <c r="A2138" s="122" t="s">
        <v>94</v>
      </c>
      <c r="F2138" s="301" t="s">
        <v>93</v>
      </c>
      <c r="G2138" s="820">
        <f>SUM(G2136:G2137)</f>
        <v>15.66</v>
      </c>
    </row>
    <row r="2139" spans="1:8" ht="14.1" customHeight="1">
      <c r="A2139" s="300" t="s">
        <v>95</v>
      </c>
      <c r="B2139" s="385">
        <f>G2138</f>
        <v>15.66</v>
      </c>
    </row>
    <row r="2140" spans="1:8" ht="14.1" customHeight="1">
      <c r="A2140" s="382" t="s">
        <v>2272</v>
      </c>
      <c r="B2140" s="381"/>
    </row>
    <row r="2141" spans="1:8" ht="14.1" customHeight="1">
      <c r="A2141" s="443" t="s">
        <v>2311</v>
      </c>
      <c r="B2141" s="381">
        <f>(B2139+B2140)*0.245</f>
        <v>3.8367</v>
      </c>
    </row>
    <row r="2142" spans="1:8" ht="14.1" customHeight="1">
      <c r="A2142" s="300" t="s">
        <v>98</v>
      </c>
      <c r="B2142" s="467">
        <f>SUM(B2139:B2141)</f>
        <v>19.496700000000001</v>
      </c>
      <c r="H2142" s="394"/>
    </row>
    <row r="2143" spans="1:8" ht="11.25" customHeight="1">
      <c r="A2143" s="362"/>
      <c r="B2143" s="363"/>
      <c r="C2143" s="364"/>
      <c r="D2143" s="362"/>
      <c r="E2143" s="363"/>
      <c r="F2143" s="363"/>
      <c r="G2143" s="363"/>
      <c r="H2143" s="362"/>
    </row>
    <row r="2144" spans="1:8" ht="11.25" customHeight="1"/>
    <row r="2145" spans="1:8" ht="11.25" customHeight="1">
      <c r="A2145" s="122" t="s">
        <v>1194</v>
      </c>
    </row>
    <row r="2146" spans="1:8" ht="11.25" customHeight="1">
      <c r="A2146" s="148" t="s">
        <v>2616</v>
      </c>
    </row>
    <row r="2147" spans="1:8" ht="24" customHeight="1">
      <c r="A2147" s="352" t="s">
        <v>1450</v>
      </c>
      <c r="B2147" s="1161" t="s">
        <v>2615</v>
      </c>
      <c r="C2147" s="1161"/>
      <c r="D2147" s="1161"/>
      <c r="E2147" s="290" t="s">
        <v>1452</v>
      </c>
      <c r="F2147" s="122"/>
      <c r="G2147" s="353"/>
    </row>
    <row r="2148" spans="1:8" ht="23.25" customHeight="1">
      <c r="A2148" s="309" t="s">
        <v>30</v>
      </c>
      <c r="B2148" s="354" t="s">
        <v>19</v>
      </c>
      <c r="C2148" s="293" t="s">
        <v>81</v>
      </c>
      <c r="D2148" s="294" t="s">
        <v>77</v>
      </c>
      <c r="E2148" s="294" t="s">
        <v>82</v>
      </c>
      <c r="F2148" s="295" t="s">
        <v>83</v>
      </c>
      <c r="G2148" s="355" t="s">
        <v>84</v>
      </c>
    </row>
    <row r="2149" spans="1:8" ht="14.1" customHeight="1">
      <c r="A2149" s="1127">
        <v>88247</v>
      </c>
      <c r="B2149" s="1177" t="s">
        <v>1038</v>
      </c>
      <c r="C2149" s="293" t="s">
        <v>104</v>
      </c>
      <c r="D2149" s="1131" t="s">
        <v>383</v>
      </c>
      <c r="E2149" s="1165">
        <v>0.13539999999999999</v>
      </c>
      <c r="F2149" s="825">
        <f>'COMP AUX'!G287</f>
        <v>10.98</v>
      </c>
      <c r="G2149" s="296">
        <f t="shared" ref="G2149" si="88">TRUNC(E2149*F2149,2)</f>
        <v>1.48</v>
      </c>
    </row>
    <row r="2150" spans="1:8" ht="14.1" customHeight="1">
      <c r="A2150" s="1176"/>
      <c r="B2150" s="1178"/>
      <c r="C2150" s="293" t="s">
        <v>87</v>
      </c>
      <c r="D2150" s="1131"/>
      <c r="E2150" s="1166"/>
      <c r="F2150" s="825">
        <f>'COMP AUX'!G288</f>
        <v>4.75</v>
      </c>
      <c r="G2150" s="296">
        <f>TRUNC(E2149*F2150,2)</f>
        <v>0.64</v>
      </c>
    </row>
    <row r="2151" spans="1:8" ht="14.1" customHeight="1">
      <c r="A2151" s="1127">
        <v>88264</v>
      </c>
      <c r="B2151" s="1177" t="s">
        <v>279</v>
      </c>
      <c r="C2151" s="293" t="s">
        <v>104</v>
      </c>
      <c r="D2151" s="1131" t="s">
        <v>383</v>
      </c>
      <c r="E2151" s="1165">
        <v>0.13539999999999999</v>
      </c>
      <c r="F2151" s="825">
        <f>'COMP AUX'!G253</f>
        <v>15.71</v>
      </c>
      <c r="G2151" s="296">
        <f t="shared" ref="G2151" si="89">TRUNC(E2151*F2151,2)</f>
        <v>2.12</v>
      </c>
    </row>
    <row r="2152" spans="1:8" ht="14.1" customHeight="1">
      <c r="A2152" s="1128"/>
      <c r="B2152" s="1183"/>
      <c r="C2152" s="293" t="s">
        <v>87</v>
      </c>
      <c r="D2152" s="1131"/>
      <c r="E2152" s="1166"/>
      <c r="F2152" s="825">
        <f>'COMP AUX'!G254</f>
        <v>4.8099999999999996</v>
      </c>
      <c r="G2152" s="296">
        <f>TRUNC(E2151*F2152,2)</f>
        <v>0.65</v>
      </c>
    </row>
    <row r="2153" spans="1:8" ht="26.25" customHeight="1">
      <c r="A2153" s="764">
        <v>2638</v>
      </c>
      <c r="B2153" s="345" t="s">
        <v>2617</v>
      </c>
      <c r="C2153" s="293" t="s">
        <v>87</v>
      </c>
      <c r="D2153" s="295" t="s">
        <v>1452</v>
      </c>
      <c r="E2153" s="311">
        <v>1</v>
      </c>
      <c r="F2153" s="825">
        <v>1.98</v>
      </c>
      <c r="G2153" s="312">
        <f t="shared" ref="G2153" si="90">TRUNC(E2153*F2153,2)</f>
        <v>1.98</v>
      </c>
    </row>
    <row r="2154" spans="1:8" ht="14.1" customHeight="1">
      <c r="F2154" s="360" t="s">
        <v>90</v>
      </c>
      <c r="G2154" s="322">
        <f>G2149+G2151</f>
        <v>3.6</v>
      </c>
    </row>
    <row r="2155" spans="1:8" ht="14.1" customHeight="1">
      <c r="F2155" s="301" t="s">
        <v>92</v>
      </c>
      <c r="G2155" s="312">
        <f>G2150+G2152+G2153</f>
        <v>3.27</v>
      </c>
    </row>
    <row r="2156" spans="1:8" ht="14.1" customHeight="1">
      <c r="A2156" s="122" t="s">
        <v>94</v>
      </c>
      <c r="F2156" s="301" t="s">
        <v>93</v>
      </c>
      <c r="G2156" s="820">
        <f>SUM(G2154:G2155)</f>
        <v>6.87</v>
      </c>
    </row>
    <row r="2157" spans="1:8" ht="14.1" customHeight="1">
      <c r="A2157" s="300" t="s">
        <v>95</v>
      </c>
      <c r="B2157" s="385">
        <f>G2156</f>
        <v>6.87</v>
      </c>
    </row>
    <row r="2158" spans="1:8" ht="14.1" customHeight="1">
      <c r="A2158" s="382" t="s">
        <v>2272</v>
      </c>
      <c r="B2158" s="381"/>
    </row>
    <row r="2159" spans="1:8" ht="14.1" customHeight="1">
      <c r="A2159" s="443" t="s">
        <v>2311</v>
      </c>
      <c r="B2159" s="381">
        <f>(B2157+B2158)*0.245</f>
        <v>1.6831499999999999</v>
      </c>
    </row>
    <row r="2160" spans="1:8" ht="14.1" customHeight="1">
      <c r="A2160" s="300" t="s">
        <v>98</v>
      </c>
      <c r="B2160" s="467">
        <f>SUM(B2157:B2159)</f>
        <v>8.5531500000000005</v>
      </c>
      <c r="H2160" s="394"/>
    </row>
    <row r="2161" spans="1:8" ht="11.25" customHeight="1">
      <c r="A2161" s="362"/>
      <c r="B2161" s="363"/>
      <c r="C2161" s="364"/>
      <c r="D2161" s="362"/>
      <c r="E2161" s="363"/>
      <c r="F2161" s="363"/>
      <c r="G2161" s="363"/>
      <c r="H2161" s="362"/>
    </row>
    <row r="2162" spans="1:8" ht="11.25" customHeight="1"/>
    <row r="2163" spans="1:8" ht="11.25" customHeight="1">
      <c r="A2163" s="122" t="s">
        <v>1194</v>
      </c>
    </row>
    <row r="2164" spans="1:8" ht="11.25" customHeight="1">
      <c r="A2164" s="879" t="s">
        <v>2760</v>
      </c>
      <c r="B2164" s="128" t="s">
        <v>1840</v>
      </c>
    </row>
    <row r="2165" spans="1:8" ht="18.75" customHeight="1">
      <c r="A2165" s="352" t="s">
        <v>1450</v>
      </c>
      <c r="B2165" s="1161" t="s">
        <v>2816</v>
      </c>
      <c r="C2165" s="1161"/>
      <c r="D2165" s="1161"/>
      <c r="E2165" s="876" t="s">
        <v>1553</v>
      </c>
      <c r="F2165" s="122"/>
      <c r="G2165" s="353"/>
    </row>
    <row r="2166" spans="1:8" ht="24.75" customHeight="1">
      <c r="A2166" s="874" t="s">
        <v>30</v>
      </c>
      <c r="B2166" s="354" t="s">
        <v>19</v>
      </c>
      <c r="C2166" s="293" t="s">
        <v>81</v>
      </c>
      <c r="D2166" s="871" t="s">
        <v>77</v>
      </c>
      <c r="E2166" s="871" t="s">
        <v>82</v>
      </c>
      <c r="F2166" s="870" t="s">
        <v>83</v>
      </c>
      <c r="G2166" s="355" t="s">
        <v>84</v>
      </c>
    </row>
    <row r="2167" spans="1:8" ht="15" customHeight="1">
      <c r="A2167" s="1127">
        <v>88309</v>
      </c>
      <c r="B2167" s="1177" t="s">
        <v>118</v>
      </c>
      <c r="C2167" s="293" t="s">
        <v>104</v>
      </c>
      <c r="D2167" s="1131" t="s">
        <v>383</v>
      </c>
      <c r="E2167" s="1125">
        <v>6.9930000000000003</v>
      </c>
      <c r="F2167" s="825">
        <f>'COMP AUX'!G151</f>
        <v>15.020000000000001</v>
      </c>
      <c r="G2167" s="296">
        <f t="shared" ref="G2167" si="91">TRUNC(E2167*F2167,2)</f>
        <v>105.03</v>
      </c>
    </row>
    <row r="2168" spans="1:8" ht="15" customHeight="1">
      <c r="A2168" s="1176"/>
      <c r="B2168" s="1178"/>
      <c r="C2168" s="293" t="s">
        <v>87</v>
      </c>
      <c r="D2168" s="1131"/>
      <c r="E2168" s="1126"/>
      <c r="F2168" s="825">
        <f>'COMP AUX'!G152</f>
        <v>4.79</v>
      </c>
      <c r="G2168" s="296">
        <f>TRUNC(E2167*F2168,2)</f>
        <v>33.49</v>
      </c>
    </row>
    <row r="2169" spans="1:8" ht="15" customHeight="1">
      <c r="A2169" s="1127">
        <v>88316</v>
      </c>
      <c r="B2169" s="1177" t="s">
        <v>110</v>
      </c>
      <c r="C2169" s="293" t="s">
        <v>104</v>
      </c>
      <c r="D2169" s="1131" t="s">
        <v>383</v>
      </c>
      <c r="E2169" s="1125">
        <v>4.0792000000000002</v>
      </c>
      <c r="F2169" s="825">
        <f>'COMP AUX'!G104</f>
        <v>11.18</v>
      </c>
      <c r="G2169" s="296">
        <f>TRUNC(E2169*F2169,2)</f>
        <v>45.6</v>
      </c>
    </row>
    <row r="2170" spans="1:8" ht="15" customHeight="1">
      <c r="A2170" s="1128"/>
      <c r="B2170" s="1183"/>
      <c r="C2170" s="293" t="s">
        <v>87</v>
      </c>
      <c r="D2170" s="1131"/>
      <c r="E2170" s="1126"/>
      <c r="F2170" s="825">
        <f>'COMP AUX'!G105</f>
        <v>4.7300000000000004</v>
      </c>
      <c r="G2170" s="296">
        <f>TRUNC(E2169*F2170,2)</f>
        <v>19.29</v>
      </c>
    </row>
    <row r="2171" spans="1:8" ht="15" customHeight="1">
      <c r="A2171" s="872" t="s">
        <v>480</v>
      </c>
      <c r="B2171" s="868" t="s">
        <v>2817</v>
      </c>
      <c r="C2171" s="293" t="s">
        <v>87</v>
      </c>
      <c r="D2171" s="869" t="s">
        <v>1316</v>
      </c>
      <c r="E2171" s="877">
        <v>2.3310000000000001E-2</v>
      </c>
      <c r="F2171" s="825">
        <v>178.85</v>
      </c>
      <c r="G2171" s="296">
        <f>TRUNC(E2171*F2171,2)</f>
        <v>4.16</v>
      </c>
    </row>
    <row r="2172" spans="1:8" ht="30" customHeight="1">
      <c r="A2172" s="872" t="s">
        <v>482</v>
      </c>
      <c r="B2172" s="868" t="s">
        <v>2818</v>
      </c>
      <c r="C2172" s="293" t="s">
        <v>87</v>
      </c>
      <c r="D2172" s="869" t="s">
        <v>1319</v>
      </c>
      <c r="E2172" s="877">
        <v>11.6555</v>
      </c>
      <c r="F2172" s="825">
        <v>0.47</v>
      </c>
      <c r="G2172" s="296">
        <f>TRUNC(E2172*F2172,2)</f>
        <v>5.47</v>
      </c>
    </row>
    <row r="2173" spans="1:8" ht="30" customHeight="1">
      <c r="A2173" s="872" t="s">
        <v>2820</v>
      </c>
      <c r="B2173" s="868" t="s">
        <v>2819</v>
      </c>
      <c r="C2173" s="293" t="s">
        <v>87</v>
      </c>
      <c r="D2173" s="869" t="s">
        <v>1553</v>
      </c>
      <c r="E2173" s="877">
        <v>1.1655</v>
      </c>
      <c r="F2173" s="825">
        <v>709.21</v>
      </c>
      <c r="G2173" s="296">
        <f>TRUNC(E2173*F2173,2)</f>
        <v>826.58</v>
      </c>
    </row>
    <row r="2174" spans="1:8" ht="18" customHeight="1">
      <c r="A2174" s="1127">
        <v>88267</v>
      </c>
      <c r="B2174" s="1129" t="s">
        <v>271</v>
      </c>
      <c r="C2174" s="293" t="s">
        <v>104</v>
      </c>
      <c r="D2174" s="1131" t="s">
        <v>383</v>
      </c>
      <c r="E2174" s="1125">
        <f>2*0.174</f>
        <v>0.34799999999999998</v>
      </c>
      <c r="F2174" s="825">
        <f>'COMP AUX'!G338</f>
        <v>15.5</v>
      </c>
      <c r="G2174" s="296">
        <f>TRUNC(E2174*F2174,2)</f>
        <v>5.39</v>
      </c>
    </row>
    <row r="2175" spans="1:8" ht="15.75" customHeight="1">
      <c r="A2175" s="1128"/>
      <c r="B2175" s="1130"/>
      <c r="C2175" s="293" t="s">
        <v>87</v>
      </c>
      <c r="D2175" s="1131"/>
      <c r="E2175" s="1126"/>
      <c r="F2175" s="825">
        <f>'COMP AUX'!G339</f>
        <v>4.4000000000000004</v>
      </c>
      <c r="G2175" s="296">
        <f>TRUNC(E2174*F2175,2)</f>
        <v>1.53</v>
      </c>
    </row>
    <row r="2176" spans="1:8" ht="15.75" customHeight="1">
      <c r="A2176" s="1127">
        <v>88316</v>
      </c>
      <c r="B2176" s="1129" t="s">
        <v>110</v>
      </c>
      <c r="C2176" s="293" t="s">
        <v>104</v>
      </c>
      <c r="D2176" s="1131" t="s">
        <v>383</v>
      </c>
      <c r="E2176" s="1125">
        <f>2*0.0548</f>
        <v>0.1096</v>
      </c>
      <c r="F2176" s="825">
        <f>'COMP AUX'!G104</f>
        <v>11.18</v>
      </c>
      <c r="G2176" s="296">
        <f>TRUNC(E2176*F2176,2)</f>
        <v>1.22</v>
      </c>
    </row>
    <row r="2177" spans="1:7" ht="15.75" customHeight="1">
      <c r="A2177" s="1128"/>
      <c r="B2177" s="1130"/>
      <c r="C2177" s="293" t="s">
        <v>87</v>
      </c>
      <c r="D2177" s="1131"/>
      <c r="E2177" s="1126"/>
      <c r="F2177" s="825">
        <f>'COMP AUX'!G105</f>
        <v>4.7300000000000004</v>
      </c>
      <c r="G2177" s="296">
        <f>TRUNC(E2176*F2177,2)</f>
        <v>0.51</v>
      </c>
    </row>
    <row r="2178" spans="1:7" ht="30" customHeight="1">
      <c r="A2178" s="872">
        <v>3146</v>
      </c>
      <c r="B2178" s="868" t="s">
        <v>266</v>
      </c>
      <c r="C2178" s="293" t="s">
        <v>87</v>
      </c>
      <c r="D2178" s="869" t="s">
        <v>381</v>
      </c>
      <c r="E2178" s="877">
        <f>2*0.048</f>
        <v>9.6000000000000002E-2</v>
      </c>
      <c r="F2178" s="825">
        <v>4.24</v>
      </c>
      <c r="G2178" s="296">
        <f>TRUNC(E2178*F2178,2)</f>
        <v>0.4</v>
      </c>
    </row>
    <row r="2179" spans="1:7" ht="30" customHeight="1">
      <c r="A2179" s="872" t="s">
        <v>2821</v>
      </c>
      <c r="B2179" s="868" t="s">
        <v>2340</v>
      </c>
      <c r="C2179" s="293" t="s">
        <v>87</v>
      </c>
      <c r="D2179" s="869" t="s">
        <v>381</v>
      </c>
      <c r="E2179" s="877">
        <v>2</v>
      </c>
      <c r="F2179" s="825">
        <v>51.1</v>
      </c>
      <c r="G2179" s="296">
        <f>TRUNC(E2179*F2179,2)</f>
        <v>102.2</v>
      </c>
    </row>
    <row r="2180" spans="1:7" ht="18" customHeight="1">
      <c r="A2180" s="1127">
        <v>88267</v>
      </c>
      <c r="B2180" s="1129" t="s">
        <v>271</v>
      </c>
      <c r="C2180" s="293" t="s">
        <v>104</v>
      </c>
      <c r="D2180" s="1131" t="s">
        <v>383</v>
      </c>
      <c r="E2180" s="1125">
        <f>2*0.2734</f>
        <v>0.54679999999999995</v>
      </c>
      <c r="F2180" s="825">
        <f>'COMP AUX'!G338</f>
        <v>15.5</v>
      </c>
      <c r="G2180" s="296">
        <f>TRUNC(E2180*F2180,2)</f>
        <v>8.4700000000000006</v>
      </c>
    </row>
    <row r="2181" spans="1:7" ht="15.75" customHeight="1">
      <c r="A2181" s="1128"/>
      <c r="B2181" s="1130"/>
      <c r="C2181" s="293" t="s">
        <v>87</v>
      </c>
      <c r="D2181" s="1131"/>
      <c r="E2181" s="1126"/>
      <c r="F2181" s="825">
        <f>'COMP AUX'!G339</f>
        <v>4.4000000000000004</v>
      </c>
      <c r="G2181" s="296">
        <f>TRUNC(E2180*F2181,2)</f>
        <v>2.4</v>
      </c>
    </row>
    <row r="2182" spans="1:7" ht="15.75" customHeight="1">
      <c r="A2182" s="1127">
        <v>88316</v>
      </c>
      <c r="B2182" s="1129" t="s">
        <v>110</v>
      </c>
      <c r="C2182" s="293" t="s">
        <v>104</v>
      </c>
      <c r="D2182" s="1131" t="s">
        <v>383</v>
      </c>
      <c r="E2182" s="1125">
        <f>2*0.0862</f>
        <v>0.1724</v>
      </c>
      <c r="F2182" s="825">
        <f>'COMP AUX'!G104</f>
        <v>11.18</v>
      </c>
      <c r="G2182" s="296">
        <f>TRUNC(E2182*F2182,2)</f>
        <v>1.92</v>
      </c>
    </row>
    <row r="2183" spans="1:7" ht="15.75" customHeight="1">
      <c r="A2183" s="1128"/>
      <c r="B2183" s="1130"/>
      <c r="C2183" s="293" t="s">
        <v>87</v>
      </c>
      <c r="D2183" s="1131"/>
      <c r="E2183" s="1126"/>
      <c r="F2183" s="825">
        <f>'COMP AUX'!G105</f>
        <v>4.7300000000000004</v>
      </c>
      <c r="G2183" s="296">
        <f>TRUNC(E2182*F2183,2)</f>
        <v>0.81</v>
      </c>
    </row>
    <row r="2184" spans="1:7" ht="30" customHeight="1">
      <c r="A2184" s="872">
        <v>3146</v>
      </c>
      <c r="B2184" s="868" t="s">
        <v>266</v>
      </c>
      <c r="C2184" s="293" t="s">
        <v>87</v>
      </c>
      <c r="D2184" s="869" t="s">
        <v>381</v>
      </c>
      <c r="E2184" s="877">
        <f>2*0.0332</f>
        <v>6.6400000000000001E-2</v>
      </c>
      <c r="F2184" s="825">
        <v>4.24</v>
      </c>
      <c r="G2184" s="296">
        <f>TRUNC(E2184*F2184,2)</f>
        <v>0.28000000000000003</v>
      </c>
    </row>
    <row r="2185" spans="1:7" ht="30" customHeight="1">
      <c r="A2185" s="872">
        <v>6136</v>
      </c>
      <c r="B2185" s="868" t="s">
        <v>2822</v>
      </c>
      <c r="C2185" s="293" t="s">
        <v>87</v>
      </c>
      <c r="D2185" s="869" t="s">
        <v>381</v>
      </c>
      <c r="E2185" s="877">
        <v>2</v>
      </c>
      <c r="F2185" s="825">
        <v>149.63999999999999</v>
      </c>
      <c r="G2185" s="296">
        <f>E2185*F2185</f>
        <v>299.27999999999997</v>
      </c>
    </row>
    <row r="2186" spans="1:7" ht="18" customHeight="1">
      <c r="A2186" s="1127">
        <v>88274</v>
      </c>
      <c r="B2186" s="1129" t="s">
        <v>2823</v>
      </c>
      <c r="C2186" s="293" t="s">
        <v>104</v>
      </c>
      <c r="D2186" s="1131" t="s">
        <v>383</v>
      </c>
      <c r="E2186" s="1125">
        <f>2*0.4774</f>
        <v>0.95479999999999998</v>
      </c>
      <c r="F2186" s="825">
        <f>'COMP AUX'!G406</f>
        <v>15.280000000000001</v>
      </c>
      <c r="G2186" s="296">
        <f>TRUNC(E2186*F2186,2)</f>
        <v>14.58</v>
      </c>
    </row>
    <row r="2187" spans="1:7" ht="15.75" customHeight="1">
      <c r="A2187" s="1128"/>
      <c r="B2187" s="1130"/>
      <c r="C2187" s="293" t="s">
        <v>87</v>
      </c>
      <c r="D2187" s="1131"/>
      <c r="E2187" s="1126"/>
      <c r="F2187" s="825">
        <f>'COMP AUX'!G407</f>
        <v>4.79</v>
      </c>
      <c r="G2187" s="296">
        <f>TRUNC(E2186*F2187,2)</f>
        <v>4.57</v>
      </c>
    </row>
    <row r="2188" spans="1:7" ht="15.75" customHeight="1">
      <c r="A2188" s="1127">
        <v>88316</v>
      </c>
      <c r="B2188" s="1129" t="s">
        <v>110</v>
      </c>
      <c r="C2188" s="293" t="s">
        <v>104</v>
      </c>
      <c r="D2188" s="1131" t="s">
        <v>383</v>
      </c>
      <c r="E2188" s="1125">
        <f>2*0.1504</f>
        <v>0.30080000000000001</v>
      </c>
      <c r="F2188" s="825">
        <f>'COMP AUX'!G104</f>
        <v>11.18</v>
      </c>
      <c r="G2188" s="296">
        <f>TRUNC(E2188*F2188,2)</f>
        <v>3.36</v>
      </c>
    </row>
    <row r="2189" spans="1:7" ht="15.75" customHeight="1">
      <c r="A2189" s="1128"/>
      <c r="B2189" s="1130"/>
      <c r="C2189" s="293" t="s">
        <v>87</v>
      </c>
      <c r="D2189" s="1131"/>
      <c r="E2189" s="1126"/>
      <c r="F2189" s="825">
        <f>'COMP AUX'!G105</f>
        <v>4.7300000000000004</v>
      </c>
      <c r="G2189" s="296">
        <f>TRUNC(E2188*F2189,2)</f>
        <v>1.42</v>
      </c>
    </row>
    <row r="2190" spans="1:7" ht="30" customHeight="1">
      <c r="A2190" s="872">
        <v>1743</v>
      </c>
      <c r="B2190" s="868" t="s">
        <v>2824</v>
      </c>
      <c r="C2190" s="293" t="s">
        <v>87</v>
      </c>
      <c r="D2190" s="869" t="s">
        <v>381</v>
      </c>
      <c r="E2190" s="877">
        <v>2</v>
      </c>
      <c r="F2190" s="825">
        <v>132.77000000000001</v>
      </c>
      <c r="G2190" s="296">
        <f>TRUNC(E2190*F2190,2)</f>
        <v>265.54000000000002</v>
      </c>
    </row>
    <row r="2191" spans="1:7" ht="27" customHeight="1">
      <c r="A2191" s="764">
        <v>4823</v>
      </c>
      <c r="B2191" s="345" t="s">
        <v>246</v>
      </c>
      <c r="C2191" s="293" t="s">
        <v>87</v>
      </c>
      <c r="D2191" s="870" t="s">
        <v>1319</v>
      </c>
      <c r="E2191" s="815">
        <f>2*0.2974</f>
        <v>0.5948</v>
      </c>
      <c r="F2191" s="825">
        <v>37.57</v>
      </c>
      <c r="G2191" s="296">
        <f>TRUNC(E2191*F2191,2)</f>
        <v>22.34</v>
      </c>
    </row>
    <row r="2192" spans="1:7" ht="14.1" customHeight="1">
      <c r="F2192" s="360" t="s">
        <v>90</v>
      </c>
      <c r="G2192" s="322">
        <f>SUM(G2167,G2169,G2174,G2176,G2180,G2182,G2186,G2188)</f>
        <v>185.57</v>
      </c>
    </row>
    <row r="2193" spans="1:8" ht="14.1" customHeight="1">
      <c r="F2193" s="301" t="s">
        <v>92</v>
      </c>
      <c r="G2193" s="312">
        <f>SUM(G2168,G2170,G2171,G2172,G2173,G2175,G2177,G2178,G2179,G2181,G2183,G2184,G2185,G2187,G2189,G2190,G2191)</f>
        <v>1590.2699999999998</v>
      </c>
    </row>
    <row r="2194" spans="1:8" ht="14.1" customHeight="1">
      <c r="A2194" s="122" t="s">
        <v>94</v>
      </c>
      <c r="F2194" s="301" t="s">
        <v>93</v>
      </c>
      <c r="G2194" s="820">
        <f>SUM(G2192:G2193)</f>
        <v>1775.8399999999997</v>
      </c>
    </row>
    <row r="2195" spans="1:8" ht="14.1" customHeight="1">
      <c r="A2195" s="300" t="s">
        <v>95</v>
      </c>
      <c r="B2195" s="385">
        <f>G2194</f>
        <v>1775.8399999999997</v>
      </c>
    </row>
    <row r="2196" spans="1:8" ht="14.1" customHeight="1">
      <c r="A2196" s="382" t="s">
        <v>2272</v>
      </c>
      <c r="B2196" s="381"/>
    </row>
    <row r="2197" spans="1:8" ht="14.1" customHeight="1">
      <c r="A2197" s="443" t="s">
        <v>2311</v>
      </c>
      <c r="B2197" s="381">
        <f>(B2195+B2196)*0.245</f>
        <v>435.0807999999999</v>
      </c>
    </row>
    <row r="2198" spans="1:8" ht="14.1" customHeight="1">
      <c r="A2198" s="300" t="s">
        <v>98</v>
      </c>
      <c r="B2198" s="467">
        <f>SUM(B2195:B2197)</f>
        <v>2210.9207999999994</v>
      </c>
      <c r="H2198" s="394"/>
    </row>
    <row r="2199" spans="1:8" ht="11.25" customHeight="1">
      <c r="A2199" s="362"/>
      <c r="B2199" s="363"/>
      <c r="C2199" s="364"/>
      <c r="D2199" s="362"/>
      <c r="E2199" s="363"/>
      <c r="F2199" s="363"/>
      <c r="G2199" s="363"/>
      <c r="H2199" s="362"/>
    </row>
    <row r="2200" spans="1:8" ht="11.25" customHeight="1"/>
    <row r="2201" spans="1:8" ht="12" customHeight="1">
      <c r="A2201" s="122" t="s">
        <v>1194</v>
      </c>
      <c r="B2201" s="462"/>
      <c r="C2201" s="462"/>
      <c r="D2201" s="462"/>
    </row>
    <row r="2202" spans="1:8" ht="14.25" customHeight="1">
      <c r="A2202" s="148" t="s">
        <v>1939</v>
      </c>
      <c r="B2202" s="130"/>
      <c r="C2202" s="130"/>
      <c r="D2202" s="130"/>
    </row>
    <row r="2203" spans="1:8" ht="26.25" customHeight="1">
      <c r="A2203" s="481" t="s">
        <v>1555</v>
      </c>
      <c r="B2203" s="1116" t="s">
        <v>1938</v>
      </c>
      <c r="C2203" s="1116"/>
      <c r="D2203" s="1116"/>
      <c r="E2203" s="149" t="s">
        <v>1452</v>
      </c>
    </row>
    <row r="2204" spans="1:8" ht="20.399999999999999">
      <c r="A2204" s="309" t="s">
        <v>30</v>
      </c>
      <c r="B2204" s="354" t="s">
        <v>19</v>
      </c>
      <c r="C2204" s="293" t="s">
        <v>81</v>
      </c>
      <c r="D2204" s="294" t="s">
        <v>77</v>
      </c>
      <c r="E2204" s="294" t="s">
        <v>82</v>
      </c>
      <c r="F2204" s="295" t="s">
        <v>83</v>
      </c>
      <c r="G2204" s="355" t="s">
        <v>84</v>
      </c>
      <c r="H2204" s="131"/>
    </row>
    <row r="2205" spans="1:8" ht="15" customHeight="1">
      <c r="A2205" s="1145">
        <v>90447</v>
      </c>
      <c r="B2205" s="1147" t="s">
        <v>1524</v>
      </c>
      <c r="C2205" s="395" t="s">
        <v>104</v>
      </c>
      <c r="D2205" s="1143" t="s">
        <v>4</v>
      </c>
      <c r="E2205" s="1139">
        <v>2.2000000000000002</v>
      </c>
      <c r="F2205" s="349">
        <f>'COMP AUX'!G1610</f>
        <v>3.7633200000000002</v>
      </c>
      <c r="G2205" s="355">
        <f>TRUNC(E2205*F2205,2)</f>
        <v>8.27</v>
      </c>
      <c r="H2205" s="131"/>
    </row>
    <row r="2206" spans="1:8" ht="15" customHeight="1">
      <c r="A2206" s="1146"/>
      <c r="B2206" s="1148"/>
      <c r="C2206" s="395" t="s">
        <v>87</v>
      </c>
      <c r="D2206" s="1144"/>
      <c r="E2206" s="1140"/>
      <c r="F2206" s="406">
        <f>'COMP AUX'!G1611</f>
        <v>1.1915</v>
      </c>
      <c r="G2206" s="435">
        <f>TRUNC(E2205*F2206,2)</f>
        <v>2.62</v>
      </c>
      <c r="H2206" s="131"/>
    </row>
    <row r="2207" spans="1:8" ht="15" customHeight="1">
      <c r="A2207" s="1145">
        <v>90456</v>
      </c>
      <c r="B2207" s="1147" t="s">
        <v>1525</v>
      </c>
      <c r="C2207" s="395" t="s">
        <v>104</v>
      </c>
      <c r="D2207" s="1143" t="s">
        <v>5</v>
      </c>
      <c r="E2207" s="1139">
        <v>1</v>
      </c>
      <c r="F2207" s="406">
        <f>'COMP AUX'!G1623</f>
        <v>2.5099999999999998</v>
      </c>
      <c r="G2207" s="435">
        <f>TRUNC(E2207*F2207,2)</f>
        <v>2.5099999999999998</v>
      </c>
      <c r="H2207" s="131"/>
    </row>
    <row r="2208" spans="1:8" ht="15" customHeight="1">
      <c r="A2208" s="1146"/>
      <c r="B2208" s="1148"/>
      <c r="C2208" s="395" t="s">
        <v>87</v>
      </c>
      <c r="D2208" s="1144"/>
      <c r="E2208" s="1140"/>
      <c r="F2208" s="406">
        <f>'COMP AUX'!G1624</f>
        <v>0.78999999999999992</v>
      </c>
      <c r="G2208" s="435">
        <f>TRUNC(E2207*F2208,2)</f>
        <v>0.79</v>
      </c>
      <c r="H2208" s="131"/>
    </row>
    <row r="2209" spans="1:8" ht="17.100000000000001" customHeight="1">
      <c r="A2209" s="1145">
        <v>90466</v>
      </c>
      <c r="B2209" s="1147" t="s">
        <v>1526</v>
      </c>
      <c r="C2209" s="395" t="s">
        <v>104</v>
      </c>
      <c r="D2209" s="1143" t="s">
        <v>4</v>
      </c>
      <c r="E2209" s="1139">
        <v>2.2000000000000002</v>
      </c>
      <c r="F2209" s="406">
        <f>'COMP AUX'!G1638</f>
        <v>6.9399999999999995</v>
      </c>
      <c r="G2209" s="435">
        <f>TRUNC(E2209*F2209,2)</f>
        <v>15.26</v>
      </c>
      <c r="H2209" s="131"/>
    </row>
    <row r="2210" spans="1:8" ht="17.100000000000001" customHeight="1">
      <c r="A2210" s="1146"/>
      <c r="B2210" s="1148"/>
      <c r="C2210" s="395" t="s">
        <v>87</v>
      </c>
      <c r="D2210" s="1144"/>
      <c r="E2210" s="1140"/>
      <c r="F2210" s="406">
        <f>'COMP AUX'!G1639</f>
        <v>2.92</v>
      </c>
      <c r="G2210" s="435">
        <f>TRUNC(E2209*F2210,2)</f>
        <v>6.42</v>
      </c>
      <c r="H2210" s="131"/>
    </row>
    <row r="2211" spans="1:8" ht="20.100000000000001" customHeight="1">
      <c r="A2211" s="1145">
        <v>91842</v>
      </c>
      <c r="B2211" s="1147" t="s">
        <v>1527</v>
      </c>
      <c r="C2211" s="395" t="s">
        <v>104</v>
      </c>
      <c r="D2211" s="1143" t="s">
        <v>4</v>
      </c>
      <c r="E2211" s="1139">
        <v>2</v>
      </c>
      <c r="F2211" s="406">
        <f>'COMP AUX'!G1768</f>
        <v>1.92</v>
      </c>
      <c r="G2211" s="435">
        <f>TRUNC(E2211*F2211,2)</f>
        <v>3.84</v>
      </c>
      <c r="H2211" s="131"/>
    </row>
    <row r="2212" spans="1:8" ht="20.100000000000001" customHeight="1">
      <c r="A2212" s="1146"/>
      <c r="B2212" s="1148"/>
      <c r="C2212" s="395" t="s">
        <v>87</v>
      </c>
      <c r="D2212" s="1144"/>
      <c r="E2212" s="1140"/>
      <c r="F2212" s="406">
        <f>'COMP AUX'!G1769</f>
        <v>1.7900000000000003</v>
      </c>
      <c r="G2212" s="435">
        <f>TRUNC(E2211*F2212,2)</f>
        <v>3.58</v>
      </c>
      <c r="H2212" s="131"/>
    </row>
    <row r="2213" spans="1:8" ht="18" customHeight="1">
      <c r="A2213" s="1145">
        <v>91852</v>
      </c>
      <c r="B2213" s="1147" t="s">
        <v>1528</v>
      </c>
      <c r="C2213" s="395" t="s">
        <v>104</v>
      </c>
      <c r="D2213" s="1143" t="s">
        <v>4</v>
      </c>
      <c r="E2213" s="1139">
        <v>2.2000000000000002</v>
      </c>
      <c r="F2213" s="406">
        <f>'COMP AUX'!G1782</f>
        <v>3.4299999999999997</v>
      </c>
      <c r="G2213" s="435">
        <f>TRUNC(E2213*F2213,2)</f>
        <v>7.54</v>
      </c>
      <c r="H2213" s="131"/>
    </row>
    <row r="2214" spans="1:8" ht="18" customHeight="1">
      <c r="A2214" s="1146"/>
      <c r="B2214" s="1148"/>
      <c r="C2214" s="395" t="s">
        <v>87</v>
      </c>
      <c r="D2214" s="1144"/>
      <c r="E2214" s="1140"/>
      <c r="F2214" s="406">
        <f>'COMP AUX'!G1783</f>
        <v>2.2400000000000002</v>
      </c>
      <c r="G2214" s="435">
        <f>TRUNC(E2213*F2214,2)</f>
        <v>4.92</v>
      </c>
      <c r="H2214" s="131"/>
    </row>
    <row r="2215" spans="1:8" ht="18" customHeight="1">
      <c r="A2215" s="1181">
        <v>91926</v>
      </c>
      <c r="B2215" s="1147" t="s">
        <v>1530</v>
      </c>
      <c r="C2215" s="395" t="s">
        <v>104</v>
      </c>
      <c r="D2215" s="1143" t="s">
        <v>4</v>
      </c>
      <c r="E2215" s="1139">
        <v>12.6</v>
      </c>
      <c r="F2215" s="406">
        <f>'COMP AUX'!G1812</f>
        <v>0.79</v>
      </c>
      <c r="G2215" s="435">
        <f>TRUNC(E2215*F2215,2)</f>
        <v>9.9499999999999993</v>
      </c>
      <c r="H2215" s="131"/>
    </row>
    <row r="2216" spans="1:8" ht="18" customHeight="1">
      <c r="A2216" s="1160"/>
      <c r="B2216" s="1178"/>
      <c r="C2216" s="395" t="s">
        <v>87</v>
      </c>
      <c r="D2216" s="1144"/>
      <c r="E2216" s="1140"/>
      <c r="F2216" s="406">
        <f>'COMP AUX'!G1813</f>
        <v>1.6500000000000004</v>
      </c>
      <c r="G2216" s="435">
        <f>TRUNC(E2215*F2216,2)</f>
        <v>20.79</v>
      </c>
      <c r="H2216" s="131"/>
    </row>
    <row r="2217" spans="1:8" ht="18" customHeight="1">
      <c r="A2217" s="1181">
        <v>91937</v>
      </c>
      <c r="B2217" s="1147" t="s">
        <v>1531</v>
      </c>
      <c r="C2217" s="395" t="s">
        <v>104</v>
      </c>
      <c r="D2217" s="1143" t="s">
        <v>5</v>
      </c>
      <c r="E2217" s="1139">
        <v>0.375</v>
      </c>
      <c r="F2217" s="406">
        <f>'COMP AUX'!G1897</f>
        <v>3.4299999999999997</v>
      </c>
      <c r="G2217" s="435">
        <f>TRUNC(E2217*F2217,2)</f>
        <v>1.28</v>
      </c>
      <c r="H2217" s="131"/>
    </row>
    <row r="2218" spans="1:8" ht="18" customHeight="1">
      <c r="A2218" s="1160"/>
      <c r="B2218" s="1178"/>
      <c r="C2218" s="395" t="s">
        <v>87</v>
      </c>
      <c r="D2218" s="1144"/>
      <c r="E2218" s="1140"/>
      <c r="F2218" s="406">
        <f>'COMP AUX'!G1898</f>
        <v>4.2</v>
      </c>
      <c r="G2218" s="435">
        <f>TRUNC(E2217*F2218,2)</f>
        <v>1.57</v>
      </c>
      <c r="H2218" s="131"/>
    </row>
    <row r="2219" spans="1:8" ht="18" customHeight="1">
      <c r="A2219" s="1181">
        <v>91940</v>
      </c>
      <c r="B2219" s="1147" t="s">
        <v>1532</v>
      </c>
      <c r="C2219" s="395" t="s">
        <v>104</v>
      </c>
      <c r="D2219" s="1143" t="s">
        <v>5</v>
      </c>
      <c r="E2219" s="1139">
        <v>1</v>
      </c>
      <c r="F2219" s="406">
        <f>'COMP AUX'!G1929</f>
        <v>6.67</v>
      </c>
      <c r="G2219" s="435">
        <f>TRUNC(E2219*F2219,2)</f>
        <v>6.67</v>
      </c>
      <c r="H2219" s="131"/>
    </row>
    <row r="2220" spans="1:8" ht="18" customHeight="1">
      <c r="A2220" s="1160"/>
      <c r="B2220" s="1178"/>
      <c r="C2220" s="395" t="s">
        <v>87</v>
      </c>
      <c r="D2220" s="1144"/>
      <c r="E2220" s="1140"/>
      <c r="F2220" s="406">
        <f>'COMP AUX'!G1930</f>
        <v>4.29</v>
      </c>
      <c r="G2220" s="435">
        <f>TRUNC(E2219*F2220,2)</f>
        <v>4.29</v>
      </c>
      <c r="H2220" s="131"/>
    </row>
    <row r="2221" spans="1:8" ht="15" customHeight="1">
      <c r="A2221" s="1181">
        <v>92004</v>
      </c>
      <c r="B2221" s="1147" t="s">
        <v>1940</v>
      </c>
      <c r="C2221" s="395" t="s">
        <v>104</v>
      </c>
      <c r="D2221" s="1143" t="s">
        <v>5</v>
      </c>
      <c r="E2221" s="1139">
        <v>1</v>
      </c>
      <c r="F2221" s="406">
        <f>'COMP AUX'!G1942</f>
        <v>17.72</v>
      </c>
      <c r="G2221" s="435">
        <f>TRUNC(E2221*F2221,2)</f>
        <v>17.72</v>
      </c>
      <c r="H2221" s="131"/>
    </row>
    <row r="2222" spans="1:8" ht="15" customHeight="1">
      <c r="A2222" s="1160"/>
      <c r="B2222" s="1148"/>
      <c r="C2222" s="395" t="s">
        <v>87</v>
      </c>
      <c r="D2222" s="1144"/>
      <c r="E2222" s="1140"/>
      <c r="F2222" s="406">
        <f>'COMP AUX'!G1943</f>
        <v>17.75</v>
      </c>
      <c r="G2222" s="435">
        <f>TRUNC(E2221*F2222,2)</f>
        <v>17.75</v>
      </c>
      <c r="H2222" s="131"/>
    </row>
    <row r="2223" spans="1:8" ht="14.1" customHeight="1">
      <c r="A2223" s="131"/>
      <c r="B2223" s="131"/>
      <c r="C2223" s="131"/>
      <c r="D2223" s="131"/>
      <c r="E2223" s="131"/>
      <c r="F2223" s="412" t="s">
        <v>90</v>
      </c>
      <c r="G2223" s="435">
        <f>G2205+G2207+G2209+G2211+G2213+G2215+G2217+G2219+G2221</f>
        <v>73.040000000000006</v>
      </c>
      <c r="H2223" s="131"/>
    </row>
    <row r="2224" spans="1:8" ht="14.1" customHeight="1">
      <c r="A2224" s="131"/>
      <c r="B2224" s="131"/>
      <c r="C2224" s="131"/>
      <c r="D2224" s="131"/>
      <c r="E2224" s="131"/>
      <c r="F2224" s="412" t="s">
        <v>92</v>
      </c>
      <c r="G2224" s="435">
        <f>G2206+G2208+G2210+G2212+G2214+G2216+G2218+G2220+G2222</f>
        <v>62.73</v>
      </c>
      <c r="H2224" s="131"/>
    </row>
    <row r="2225" spans="1:8" ht="14.1" customHeight="1">
      <c r="A2225" s="413" t="s">
        <v>94</v>
      </c>
      <c r="B2225" s="131"/>
      <c r="C2225" s="131"/>
      <c r="D2225" s="131"/>
      <c r="E2225" s="131"/>
      <c r="F2225" s="412" t="s">
        <v>93</v>
      </c>
      <c r="G2225" s="437">
        <f>SUM(G2223:G2224)</f>
        <v>135.77000000000001</v>
      </c>
      <c r="H2225" s="131"/>
    </row>
    <row r="2226" spans="1:8" ht="14.1" customHeight="1">
      <c r="A2226" s="361" t="s">
        <v>95</v>
      </c>
      <c r="B2226" s="385">
        <f>G2225</f>
        <v>135.77000000000001</v>
      </c>
      <c r="C2226" s="131"/>
      <c r="D2226" s="131"/>
      <c r="E2226" s="131"/>
      <c r="F2226" s="132"/>
      <c r="G2226" s="132"/>
      <c r="H2226" s="131"/>
    </row>
    <row r="2227" spans="1:8" ht="14.1" customHeight="1">
      <c r="A2227" s="382" t="s">
        <v>2272</v>
      </c>
      <c r="B2227" s="381"/>
      <c r="C2227" s="131"/>
      <c r="D2227" s="131"/>
      <c r="E2227" s="131"/>
      <c r="F2227" s="132"/>
      <c r="G2227" s="132"/>
      <c r="H2227" s="131"/>
    </row>
    <row r="2228" spans="1:8" ht="14.1" customHeight="1">
      <c r="A2228" s="443" t="s">
        <v>2311</v>
      </c>
      <c r="B2228" s="381">
        <f>(B2226+B2227)*0.245</f>
        <v>33.263649999999998</v>
      </c>
      <c r="C2228" s="131"/>
      <c r="D2228" s="131"/>
      <c r="E2228" s="131"/>
      <c r="F2228" s="132"/>
      <c r="G2228" s="132"/>
      <c r="H2228" s="131"/>
    </row>
    <row r="2229" spans="1:8" ht="14.1" customHeight="1">
      <c r="A2229" s="361" t="s">
        <v>98</v>
      </c>
      <c r="B2229" s="386">
        <f>SUM(B2226:B2228)</f>
        <v>169.03365000000002</v>
      </c>
      <c r="C2229" s="131"/>
      <c r="D2229" s="131"/>
      <c r="E2229" s="131"/>
      <c r="F2229" s="132"/>
      <c r="G2229" s="132"/>
      <c r="H2229" s="408"/>
    </row>
    <row r="2230" spans="1:8">
      <c r="A2230" s="362"/>
      <c r="B2230" s="363"/>
      <c r="C2230" s="364"/>
      <c r="D2230" s="362"/>
      <c r="E2230" s="363"/>
      <c r="F2230" s="363"/>
      <c r="G2230" s="363"/>
      <c r="H2230" s="362"/>
    </row>
    <row r="2232" spans="1:8">
      <c r="A2232" s="122" t="s">
        <v>1194</v>
      </c>
      <c r="B2232" s="462"/>
      <c r="C2232" s="462"/>
      <c r="D2232" s="462"/>
    </row>
    <row r="2233" spans="1:8">
      <c r="A2233" s="148" t="s">
        <v>1642</v>
      </c>
      <c r="B2233" s="130"/>
      <c r="C2233" s="130"/>
      <c r="D2233" s="130"/>
    </row>
    <row r="2234" spans="1:8" ht="39.75" customHeight="1">
      <c r="A2234" s="481" t="s">
        <v>1555</v>
      </c>
      <c r="B2234" s="1116" t="s">
        <v>1643</v>
      </c>
      <c r="C2234" s="1116"/>
      <c r="D2234" s="1116"/>
      <c r="E2234" s="123" t="s">
        <v>1452</v>
      </c>
    </row>
    <row r="2235" spans="1:8" ht="29.25" customHeight="1">
      <c r="A2235" s="309" t="s">
        <v>30</v>
      </c>
      <c r="B2235" s="354" t="s">
        <v>19</v>
      </c>
      <c r="C2235" s="293" t="s">
        <v>81</v>
      </c>
      <c r="D2235" s="294" t="s">
        <v>77</v>
      </c>
      <c r="E2235" s="294" t="s">
        <v>82</v>
      </c>
      <c r="F2235" s="295" t="s">
        <v>83</v>
      </c>
      <c r="G2235" s="355" t="s">
        <v>84</v>
      </c>
      <c r="H2235" s="131"/>
    </row>
    <row r="2236" spans="1:8" ht="11.25" customHeight="1">
      <c r="A2236" s="1145">
        <v>90447</v>
      </c>
      <c r="B2236" s="1147" t="s">
        <v>1524</v>
      </c>
      <c r="C2236" s="395" t="s">
        <v>104</v>
      </c>
      <c r="D2236" s="1143" t="s">
        <v>4</v>
      </c>
      <c r="E2236" s="1139">
        <v>2.2000000000000002</v>
      </c>
      <c r="F2236" s="349">
        <f>'COMP AUX'!G1610</f>
        <v>3.7633200000000002</v>
      </c>
      <c r="G2236" s="358">
        <f>TRUNC(E2236*F2236,2)</f>
        <v>8.27</v>
      </c>
      <c r="H2236" s="131"/>
    </row>
    <row r="2237" spans="1:8">
      <c r="A2237" s="1146"/>
      <c r="B2237" s="1148"/>
      <c r="C2237" s="395" t="s">
        <v>87</v>
      </c>
      <c r="D2237" s="1144"/>
      <c r="E2237" s="1140"/>
      <c r="F2237" s="349">
        <f>'COMP AUX'!G1611</f>
        <v>1.1915</v>
      </c>
      <c r="G2237" s="435">
        <f>TRUNC(E2236*F2237,2)</f>
        <v>2.62</v>
      </c>
      <c r="H2237" s="131"/>
    </row>
    <row r="2238" spans="1:8" ht="11.25" customHeight="1">
      <c r="A2238" s="1145">
        <v>90456</v>
      </c>
      <c r="B2238" s="1147" t="s">
        <v>1525</v>
      </c>
      <c r="C2238" s="395" t="s">
        <v>104</v>
      </c>
      <c r="D2238" s="1143" t="s">
        <v>5</v>
      </c>
      <c r="E2238" s="1139">
        <v>1</v>
      </c>
      <c r="F2238" s="406">
        <f>'COMP AUX'!G1623</f>
        <v>2.5099999999999998</v>
      </c>
      <c r="G2238" s="435">
        <f>TRUNC(E2238*F2238,2)</f>
        <v>2.5099999999999998</v>
      </c>
      <c r="H2238" s="131"/>
    </row>
    <row r="2239" spans="1:8">
      <c r="A2239" s="1146"/>
      <c r="B2239" s="1148"/>
      <c r="C2239" s="395" t="s">
        <v>87</v>
      </c>
      <c r="D2239" s="1144"/>
      <c r="E2239" s="1140"/>
      <c r="F2239" s="406">
        <f>'COMP AUX'!G1624</f>
        <v>0.78999999999999992</v>
      </c>
      <c r="G2239" s="435">
        <f>TRUNC(E2238*F2239,2)</f>
        <v>0.79</v>
      </c>
      <c r="H2239" s="131"/>
    </row>
    <row r="2240" spans="1:8" ht="18" customHeight="1">
      <c r="A2240" s="1145">
        <v>90466</v>
      </c>
      <c r="B2240" s="1147" t="s">
        <v>1526</v>
      </c>
      <c r="C2240" s="395" t="s">
        <v>104</v>
      </c>
      <c r="D2240" s="1143" t="s">
        <v>4</v>
      </c>
      <c r="E2240" s="1139">
        <v>2.2000000000000002</v>
      </c>
      <c r="F2240" s="406">
        <f>'COMP AUX'!G1638</f>
        <v>6.9399999999999995</v>
      </c>
      <c r="G2240" s="435">
        <f>TRUNC(E2240*F2240,2)</f>
        <v>15.26</v>
      </c>
      <c r="H2240" s="131"/>
    </row>
    <row r="2241" spans="1:8" ht="18" customHeight="1">
      <c r="A2241" s="1146"/>
      <c r="B2241" s="1148"/>
      <c r="C2241" s="395" t="s">
        <v>87</v>
      </c>
      <c r="D2241" s="1144"/>
      <c r="E2241" s="1140"/>
      <c r="F2241" s="406">
        <f>'COMP AUX'!G1639</f>
        <v>2.92</v>
      </c>
      <c r="G2241" s="435">
        <f>TRUNC(E2240*F2241,2)</f>
        <v>6.42</v>
      </c>
      <c r="H2241" s="131"/>
    </row>
    <row r="2242" spans="1:8" ht="18" customHeight="1">
      <c r="A2242" s="1145">
        <v>91842</v>
      </c>
      <c r="B2242" s="1147" t="s">
        <v>1527</v>
      </c>
      <c r="C2242" s="395" t="s">
        <v>104</v>
      </c>
      <c r="D2242" s="1143" t="s">
        <v>4</v>
      </c>
      <c r="E2242" s="1139">
        <v>2</v>
      </c>
      <c r="F2242" s="406">
        <f>'COMP AUX'!G1768</f>
        <v>1.92</v>
      </c>
      <c r="G2242" s="435">
        <f>TRUNC(E2242*F2242,2)</f>
        <v>3.84</v>
      </c>
      <c r="H2242" s="131"/>
    </row>
    <row r="2243" spans="1:8" ht="18" customHeight="1">
      <c r="A2243" s="1146"/>
      <c r="B2243" s="1148"/>
      <c r="C2243" s="395" t="s">
        <v>87</v>
      </c>
      <c r="D2243" s="1144"/>
      <c r="E2243" s="1140"/>
      <c r="F2243" s="406">
        <f>'COMP AUX'!G1769</f>
        <v>1.7900000000000003</v>
      </c>
      <c r="G2243" s="435">
        <f>TRUNC(E2242*F2243,2)</f>
        <v>3.58</v>
      </c>
      <c r="H2243" s="131"/>
    </row>
    <row r="2244" spans="1:8" ht="18" customHeight="1">
      <c r="A2244" s="1145">
        <v>91852</v>
      </c>
      <c r="B2244" s="1147" t="s">
        <v>1528</v>
      </c>
      <c r="C2244" s="395" t="s">
        <v>104</v>
      </c>
      <c r="D2244" s="1143" t="s">
        <v>4</v>
      </c>
      <c r="E2244" s="1139">
        <v>2.2000000000000002</v>
      </c>
      <c r="F2244" s="406">
        <f>'COMP AUX'!G1782</f>
        <v>3.4299999999999997</v>
      </c>
      <c r="G2244" s="435">
        <f>TRUNC(E2244*F2244,2)</f>
        <v>7.54</v>
      </c>
      <c r="H2244" s="131"/>
    </row>
    <row r="2245" spans="1:8" ht="18" customHeight="1">
      <c r="A2245" s="1146"/>
      <c r="B2245" s="1148"/>
      <c r="C2245" s="395" t="s">
        <v>87</v>
      </c>
      <c r="D2245" s="1144"/>
      <c r="E2245" s="1140"/>
      <c r="F2245" s="406">
        <f>'COMP AUX'!G1783</f>
        <v>2.2400000000000002</v>
      </c>
      <c r="G2245" s="435">
        <f>TRUNC(E2244*F2245,2)</f>
        <v>4.92</v>
      </c>
      <c r="H2245" s="131"/>
    </row>
    <row r="2246" spans="1:8" ht="18" customHeight="1">
      <c r="A2246" s="1181">
        <v>91924</v>
      </c>
      <c r="B2246" s="1147" t="s">
        <v>1529</v>
      </c>
      <c r="C2246" s="395" t="s">
        <v>104</v>
      </c>
      <c r="D2246" s="1143" t="s">
        <v>4</v>
      </c>
      <c r="E2246" s="1139">
        <v>8.4</v>
      </c>
      <c r="F2246" s="406">
        <f>'COMP AUX'!G1797</f>
        <v>0.63</v>
      </c>
      <c r="G2246" s="435">
        <f>TRUNC(E2246*F2246,2)</f>
        <v>5.29</v>
      </c>
      <c r="H2246" s="131"/>
    </row>
    <row r="2247" spans="1:8" ht="18" customHeight="1">
      <c r="A2247" s="1160"/>
      <c r="B2247" s="1148"/>
      <c r="C2247" s="395" t="s">
        <v>87</v>
      </c>
      <c r="D2247" s="1144"/>
      <c r="E2247" s="1140"/>
      <c r="F2247" s="406">
        <f>'COMP AUX'!G1798</f>
        <v>1.05</v>
      </c>
      <c r="G2247" s="435">
        <f>TRUNC(E2246*F2247,2)</f>
        <v>8.82</v>
      </c>
      <c r="H2247" s="131"/>
    </row>
    <row r="2248" spans="1:8" ht="11.25" customHeight="1">
      <c r="A2248" s="1181">
        <v>91937</v>
      </c>
      <c r="B2248" s="1147" t="s">
        <v>1531</v>
      </c>
      <c r="C2248" s="395" t="s">
        <v>104</v>
      </c>
      <c r="D2248" s="1143" t="s">
        <v>5</v>
      </c>
      <c r="E2248" s="1139">
        <v>0.375</v>
      </c>
      <c r="F2248" s="406">
        <f>'COMP AUX'!G1897</f>
        <v>3.4299999999999997</v>
      </c>
      <c r="G2248" s="435">
        <f>TRUNC(E2248*F2248,2)</f>
        <v>1.28</v>
      </c>
      <c r="H2248" s="131"/>
    </row>
    <row r="2249" spans="1:8" ht="11.25" customHeight="1">
      <c r="A2249" s="1160"/>
      <c r="B2249" s="1178"/>
      <c r="C2249" s="395" t="s">
        <v>87</v>
      </c>
      <c r="D2249" s="1144"/>
      <c r="E2249" s="1140"/>
      <c r="F2249" s="406">
        <f>'COMP AUX'!G1898</f>
        <v>4.2</v>
      </c>
      <c r="G2249" s="435">
        <f>TRUNC(E2248*F2249,2)</f>
        <v>1.57</v>
      </c>
      <c r="H2249" s="131"/>
    </row>
    <row r="2250" spans="1:8" ht="15.9" customHeight="1">
      <c r="A2250" s="1181">
        <v>91940</v>
      </c>
      <c r="B2250" s="1147" t="s">
        <v>1532</v>
      </c>
      <c r="C2250" s="395" t="s">
        <v>104</v>
      </c>
      <c r="D2250" s="1143" t="s">
        <v>5</v>
      </c>
      <c r="E2250" s="1139">
        <v>1</v>
      </c>
      <c r="F2250" s="406">
        <f>'COMP AUX'!G1929</f>
        <v>6.67</v>
      </c>
      <c r="G2250" s="435">
        <f>TRUNC(E2250*F2250,2)</f>
        <v>6.67</v>
      </c>
      <c r="H2250" s="131"/>
    </row>
    <row r="2251" spans="1:8" ht="15.9" customHeight="1">
      <c r="A2251" s="1160"/>
      <c r="B2251" s="1178"/>
      <c r="C2251" s="395" t="s">
        <v>87</v>
      </c>
      <c r="D2251" s="1144"/>
      <c r="E2251" s="1140"/>
      <c r="F2251" s="406">
        <f>'COMP AUX'!G1930</f>
        <v>4.29</v>
      </c>
      <c r="G2251" s="435">
        <f>TRUNC(E2250*F2251,2)</f>
        <v>4.29</v>
      </c>
      <c r="H2251" s="131"/>
    </row>
    <row r="2252" spans="1:8" ht="15.9" customHeight="1">
      <c r="A2252" s="1181">
        <v>91953</v>
      </c>
      <c r="B2252" s="1147" t="s">
        <v>1644</v>
      </c>
      <c r="C2252" s="395" t="s">
        <v>104</v>
      </c>
      <c r="D2252" s="1143" t="s">
        <v>5</v>
      </c>
      <c r="E2252" s="1139">
        <v>1</v>
      </c>
      <c r="F2252" s="406">
        <f>'COMP AUX'!G1982</f>
        <v>9.51</v>
      </c>
      <c r="G2252" s="435">
        <f>TRUNC(E2252*F2252,2)</f>
        <v>9.51</v>
      </c>
      <c r="H2252" s="131"/>
    </row>
    <row r="2253" spans="1:8" ht="15.9" customHeight="1">
      <c r="A2253" s="1160"/>
      <c r="B2253" s="1148"/>
      <c r="C2253" s="395" t="s">
        <v>87</v>
      </c>
      <c r="D2253" s="1144"/>
      <c r="E2253" s="1140"/>
      <c r="F2253" s="406">
        <f>'COMP AUX'!G1983</f>
        <v>13.709999999999999</v>
      </c>
      <c r="G2253" s="435">
        <f>TRUNC(E2252*F2253,2)</f>
        <v>13.71</v>
      </c>
      <c r="H2253" s="131"/>
    </row>
    <row r="2254" spans="1:8" ht="15" customHeight="1">
      <c r="A2254" s="131"/>
      <c r="B2254" s="131"/>
      <c r="C2254" s="131"/>
      <c r="D2254" s="131"/>
      <c r="E2254" s="131"/>
      <c r="F2254" s="412" t="s">
        <v>90</v>
      </c>
      <c r="G2254" s="435">
        <f>G2236+G2238+G2240+G2242+G2244+G2246+G2248+G2250+G2252</f>
        <v>60.17</v>
      </c>
      <c r="H2254" s="131"/>
    </row>
    <row r="2255" spans="1:8" ht="15" customHeight="1">
      <c r="A2255" s="131"/>
      <c r="B2255" s="131"/>
      <c r="C2255" s="131"/>
      <c r="D2255" s="131"/>
      <c r="E2255" s="131"/>
      <c r="F2255" s="412" t="s">
        <v>92</v>
      </c>
      <c r="G2255" s="435">
        <f>G2237+G2239+G2241+G2243+G2245+G2247+G2249+G2251+G2253</f>
        <v>46.72</v>
      </c>
      <c r="H2255" s="131"/>
    </row>
    <row r="2256" spans="1:8" ht="15" customHeight="1">
      <c r="A2256" s="413" t="s">
        <v>94</v>
      </c>
      <c r="B2256" s="131"/>
      <c r="C2256" s="131"/>
      <c r="D2256" s="131"/>
      <c r="E2256" s="131"/>
      <c r="F2256" s="412" t="s">
        <v>93</v>
      </c>
      <c r="G2256" s="437">
        <f>SUM(G2254:G2255)</f>
        <v>106.89</v>
      </c>
      <c r="H2256" s="131"/>
    </row>
    <row r="2257" spans="1:8" ht="15" customHeight="1">
      <c r="A2257" s="361" t="s">
        <v>95</v>
      </c>
      <c r="B2257" s="385">
        <f>G2256</f>
        <v>106.89</v>
      </c>
      <c r="C2257" s="131"/>
      <c r="D2257" s="131"/>
      <c r="E2257" s="131"/>
      <c r="F2257" s="132"/>
      <c r="G2257" s="132"/>
      <c r="H2257" s="131"/>
    </row>
    <row r="2258" spans="1:8" ht="15" customHeight="1">
      <c r="A2258" s="382" t="s">
        <v>2272</v>
      </c>
      <c r="B2258" s="381"/>
      <c r="C2258" s="131"/>
      <c r="D2258" s="131"/>
      <c r="E2258" s="131"/>
      <c r="F2258" s="132"/>
      <c r="G2258" s="132"/>
      <c r="H2258" s="131"/>
    </row>
    <row r="2259" spans="1:8" ht="15" customHeight="1">
      <c r="A2259" s="443" t="s">
        <v>2311</v>
      </c>
      <c r="B2259" s="381">
        <f>(B2257+B2258)*0.245</f>
        <v>26.18805</v>
      </c>
      <c r="C2259" s="131"/>
      <c r="D2259" s="131"/>
      <c r="E2259" s="131"/>
      <c r="F2259" s="132"/>
      <c r="G2259" s="132"/>
      <c r="H2259" s="131"/>
    </row>
    <row r="2260" spans="1:8" ht="15" customHeight="1">
      <c r="A2260" s="361" t="s">
        <v>98</v>
      </c>
      <c r="B2260" s="386">
        <f>SUM(B2257:B2259)</f>
        <v>133.07804999999999</v>
      </c>
      <c r="C2260" s="131"/>
      <c r="D2260" s="131"/>
      <c r="E2260" s="131"/>
      <c r="F2260" s="132"/>
      <c r="G2260" s="132"/>
      <c r="H2260" s="408"/>
    </row>
    <row r="2261" spans="1:8">
      <c r="A2261" s="362"/>
      <c r="B2261" s="363"/>
      <c r="C2261" s="364"/>
      <c r="D2261" s="362"/>
      <c r="E2261" s="363"/>
      <c r="F2261" s="363"/>
      <c r="G2261" s="363"/>
      <c r="H2261" s="362"/>
    </row>
    <row r="2263" spans="1:8">
      <c r="A2263" s="122" t="s">
        <v>1194</v>
      </c>
      <c r="B2263" s="462"/>
      <c r="C2263" s="462"/>
      <c r="D2263" s="462"/>
    </row>
    <row r="2264" spans="1:8">
      <c r="A2264" s="148" t="s">
        <v>1622</v>
      </c>
      <c r="B2264" s="130"/>
      <c r="C2264" s="130"/>
      <c r="D2264" s="130"/>
    </row>
    <row r="2265" spans="1:8" ht="31.5" customHeight="1">
      <c r="A2265" s="481" t="s">
        <v>1555</v>
      </c>
      <c r="B2265" s="1116" t="s">
        <v>1623</v>
      </c>
      <c r="C2265" s="1116"/>
      <c r="D2265" s="1116"/>
      <c r="E2265" s="123" t="s">
        <v>1452</v>
      </c>
    </row>
    <row r="2266" spans="1:8" ht="26.25" customHeight="1">
      <c r="A2266" s="309" t="s">
        <v>30</v>
      </c>
      <c r="B2266" s="354" t="s">
        <v>19</v>
      </c>
      <c r="C2266" s="293" t="s">
        <v>81</v>
      </c>
      <c r="D2266" s="294" t="s">
        <v>77</v>
      </c>
      <c r="E2266" s="294" t="s">
        <v>82</v>
      </c>
      <c r="F2266" s="295" t="s">
        <v>83</v>
      </c>
      <c r="G2266" s="355" t="s">
        <v>84</v>
      </c>
      <c r="H2266" s="131"/>
    </row>
    <row r="2267" spans="1:8" ht="18" customHeight="1">
      <c r="A2267" s="1145">
        <v>90447</v>
      </c>
      <c r="B2267" s="1147" t="s">
        <v>1524</v>
      </c>
      <c r="C2267" s="395" t="s">
        <v>104</v>
      </c>
      <c r="D2267" s="1143" t="s">
        <v>4</v>
      </c>
      <c r="E2267" s="1139">
        <v>2.2000000000000002</v>
      </c>
      <c r="F2267" s="349">
        <f>'COMP AUX'!G1610</f>
        <v>3.7633200000000002</v>
      </c>
      <c r="G2267" s="355">
        <f>TRUNC(E2267*F2267,2)</f>
        <v>8.27</v>
      </c>
      <c r="H2267" s="131"/>
    </row>
    <row r="2268" spans="1:8" ht="18" customHeight="1">
      <c r="A2268" s="1146"/>
      <c r="B2268" s="1148"/>
      <c r="C2268" s="395" t="s">
        <v>87</v>
      </c>
      <c r="D2268" s="1144"/>
      <c r="E2268" s="1140"/>
      <c r="F2268" s="349">
        <f>'COMP AUX'!G1611</f>
        <v>1.1915</v>
      </c>
      <c r="G2268" s="435">
        <f>TRUNC(E2267*F2268,2)</f>
        <v>2.62</v>
      </c>
      <c r="H2268" s="131"/>
    </row>
    <row r="2269" spans="1:8" ht="18" customHeight="1">
      <c r="A2269" s="1145">
        <v>90456</v>
      </c>
      <c r="B2269" s="1147" t="s">
        <v>1525</v>
      </c>
      <c r="C2269" s="395" t="s">
        <v>104</v>
      </c>
      <c r="D2269" s="1143" t="s">
        <v>5</v>
      </c>
      <c r="E2269" s="1139">
        <v>1</v>
      </c>
      <c r="F2269" s="406">
        <f>'COMP AUX'!G1623</f>
        <v>2.5099999999999998</v>
      </c>
      <c r="G2269" s="435">
        <f>TRUNC(E2269*F2269,2)</f>
        <v>2.5099999999999998</v>
      </c>
      <c r="H2269" s="131"/>
    </row>
    <row r="2270" spans="1:8" ht="18" customHeight="1">
      <c r="A2270" s="1146"/>
      <c r="B2270" s="1148"/>
      <c r="C2270" s="395" t="s">
        <v>87</v>
      </c>
      <c r="D2270" s="1144"/>
      <c r="E2270" s="1140"/>
      <c r="F2270" s="406">
        <f>'COMP AUX'!G1624</f>
        <v>0.78999999999999992</v>
      </c>
      <c r="G2270" s="435">
        <f>TRUNC(E2269*F2270,2)</f>
        <v>0.79</v>
      </c>
      <c r="H2270" s="131"/>
    </row>
    <row r="2271" spans="1:8" ht="18" customHeight="1">
      <c r="A2271" s="1145">
        <v>90466</v>
      </c>
      <c r="B2271" s="1147" t="s">
        <v>1526</v>
      </c>
      <c r="C2271" s="395" t="s">
        <v>104</v>
      </c>
      <c r="D2271" s="1143" t="s">
        <v>4</v>
      </c>
      <c r="E2271" s="1139">
        <v>2.2000000000000002</v>
      </c>
      <c r="F2271" s="406">
        <f>'COMP AUX'!G1638</f>
        <v>6.9399999999999995</v>
      </c>
      <c r="G2271" s="435">
        <f>TRUNC(E2271*F2271,2)</f>
        <v>15.26</v>
      </c>
      <c r="H2271" s="131"/>
    </row>
    <row r="2272" spans="1:8" ht="18" customHeight="1">
      <c r="A2272" s="1146"/>
      <c r="B2272" s="1148"/>
      <c r="C2272" s="395" t="s">
        <v>87</v>
      </c>
      <c r="D2272" s="1144"/>
      <c r="E2272" s="1140"/>
      <c r="F2272" s="406">
        <f>'COMP AUX'!G1639</f>
        <v>2.92</v>
      </c>
      <c r="G2272" s="435">
        <f>TRUNC(E2271*F2272,2)</f>
        <v>6.42</v>
      </c>
      <c r="H2272" s="131"/>
    </row>
    <row r="2273" spans="1:8" ht="18" customHeight="1">
      <c r="A2273" s="1145">
        <v>91842</v>
      </c>
      <c r="B2273" s="1147" t="s">
        <v>1527</v>
      </c>
      <c r="C2273" s="395" t="s">
        <v>104</v>
      </c>
      <c r="D2273" s="1143" t="s">
        <v>4</v>
      </c>
      <c r="E2273" s="1139">
        <v>2</v>
      </c>
      <c r="F2273" s="406">
        <f>'COMP AUX'!G1768</f>
        <v>1.92</v>
      </c>
      <c r="G2273" s="435">
        <f>TRUNC(E2273*F2273,2)</f>
        <v>3.84</v>
      </c>
      <c r="H2273" s="131"/>
    </row>
    <row r="2274" spans="1:8" ht="18" customHeight="1">
      <c r="A2274" s="1146"/>
      <c r="B2274" s="1148"/>
      <c r="C2274" s="395" t="s">
        <v>87</v>
      </c>
      <c r="D2274" s="1144"/>
      <c r="E2274" s="1140"/>
      <c r="F2274" s="406">
        <f>'COMP AUX'!G1769</f>
        <v>1.7900000000000003</v>
      </c>
      <c r="G2274" s="435">
        <f>TRUNC(E2273*F2274,2)</f>
        <v>3.58</v>
      </c>
      <c r="H2274" s="131"/>
    </row>
    <row r="2275" spans="1:8" ht="18" customHeight="1">
      <c r="A2275" s="1145">
        <v>91852</v>
      </c>
      <c r="B2275" s="1147" t="s">
        <v>1528</v>
      </c>
      <c r="C2275" s="395" t="s">
        <v>104</v>
      </c>
      <c r="D2275" s="1143" t="s">
        <v>4</v>
      </c>
      <c r="E2275" s="1139">
        <v>2.2000000000000002</v>
      </c>
      <c r="F2275" s="406">
        <f>'COMP AUX'!G1782</f>
        <v>3.4299999999999997</v>
      </c>
      <c r="G2275" s="435">
        <f>TRUNC(E2275*F2275,2)</f>
        <v>7.54</v>
      </c>
      <c r="H2275" s="131"/>
    </row>
    <row r="2276" spans="1:8" ht="18" customHeight="1">
      <c r="A2276" s="1146"/>
      <c r="B2276" s="1148"/>
      <c r="C2276" s="395" t="s">
        <v>87</v>
      </c>
      <c r="D2276" s="1144"/>
      <c r="E2276" s="1140"/>
      <c r="F2276" s="406">
        <f>'COMP AUX'!G1783</f>
        <v>2.2400000000000002</v>
      </c>
      <c r="G2276" s="435">
        <f>TRUNC(E2275*F2276,2)</f>
        <v>4.92</v>
      </c>
      <c r="H2276" s="131"/>
    </row>
    <row r="2277" spans="1:8" ht="18" customHeight="1">
      <c r="A2277" s="1181">
        <v>91926</v>
      </c>
      <c r="B2277" s="1147" t="s">
        <v>1530</v>
      </c>
      <c r="C2277" s="395" t="s">
        <v>104</v>
      </c>
      <c r="D2277" s="1143" t="s">
        <v>4</v>
      </c>
      <c r="E2277" s="1139">
        <v>12.6</v>
      </c>
      <c r="F2277" s="406">
        <f>'COMP AUX'!G1812</f>
        <v>0.79</v>
      </c>
      <c r="G2277" s="435">
        <f>TRUNC(E2277*F2277,2)</f>
        <v>9.9499999999999993</v>
      </c>
      <c r="H2277" s="131"/>
    </row>
    <row r="2278" spans="1:8" ht="18" customHeight="1">
      <c r="A2278" s="1160"/>
      <c r="B2278" s="1178"/>
      <c r="C2278" s="395" t="s">
        <v>87</v>
      </c>
      <c r="D2278" s="1144"/>
      <c r="E2278" s="1140"/>
      <c r="F2278" s="406">
        <f>'COMP AUX'!G1813</f>
        <v>1.6500000000000004</v>
      </c>
      <c r="G2278" s="435">
        <f>TRUNC(E2277*F2278,2)</f>
        <v>20.79</v>
      </c>
      <c r="H2278" s="131"/>
    </row>
    <row r="2279" spans="1:8" ht="18" customHeight="1">
      <c r="A2279" s="1181">
        <v>91937</v>
      </c>
      <c r="B2279" s="1147" t="s">
        <v>1531</v>
      </c>
      <c r="C2279" s="395" t="s">
        <v>104</v>
      </c>
      <c r="D2279" s="1143" t="s">
        <v>5</v>
      </c>
      <c r="E2279" s="1139">
        <v>0.375</v>
      </c>
      <c r="F2279" s="406">
        <f>'COMP AUX'!G1897</f>
        <v>3.4299999999999997</v>
      </c>
      <c r="G2279" s="435">
        <f>TRUNC(E2279*F2279,2)</f>
        <v>1.28</v>
      </c>
      <c r="H2279" s="131"/>
    </row>
    <row r="2280" spans="1:8" ht="18" customHeight="1">
      <c r="A2280" s="1160"/>
      <c r="B2280" s="1178"/>
      <c r="C2280" s="395" t="s">
        <v>87</v>
      </c>
      <c r="D2280" s="1144"/>
      <c r="E2280" s="1140"/>
      <c r="F2280" s="406">
        <f>'COMP AUX'!G1898</f>
        <v>4.2</v>
      </c>
      <c r="G2280" s="435">
        <f>TRUNC(E2279*F2280,2)</f>
        <v>1.57</v>
      </c>
      <c r="H2280" s="131"/>
    </row>
    <row r="2281" spans="1:8" ht="20.100000000000001" customHeight="1">
      <c r="A2281" s="1181">
        <v>91940</v>
      </c>
      <c r="B2281" s="1147" t="s">
        <v>1532</v>
      </c>
      <c r="C2281" s="395" t="s">
        <v>104</v>
      </c>
      <c r="D2281" s="1143" t="s">
        <v>5</v>
      </c>
      <c r="E2281" s="1139">
        <v>1</v>
      </c>
      <c r="F2281" s="406">
        <f>'COMP AUX'!G1929</f>
        <v>6.67</v>
      </c>
      <c r="G2281" s="435">
        <f>TRUNC(E2281*F2281,2)</f>
        <v>6.67</v>
      </c>
      <c r="H2281" s="131"/>
    </row>
    <row r="2282" spans="1:8" ht="20.100000000000001" customHeight="1">
      <c r="A2282" s="1160"/>
      <c r="B2282" s="1178"/>
      <c r="C2282" s="395" t="s">
        <v>87</v>
      </c>
      <c r="D2282" s="1144"/>
      <c r="E2282" s="1140"/>
      <c r="F2282" s="406">
        <f>'COMP AUX'!G1930</f>
        <v>4.29</v>
      </c>
      <c r="G2282" s="435">
        <f>TRUNC(E2281*F2282,2)</f>
        <v>4.29</v>
      </c>
      <c r="H2282" s="131"/>
    </row>
    <row r="2283" spans="1:8" ht="20.100000000000001" customHeight="1">
      <c r="A2283" s="1181">
        <v>91996</v>
      </c>
      <c r="B2283" s="1147" t="s">
        <v>1624</v>
      </c>
      <c r="C2283" s="395" t="s">
        <v>104</v>
      </c>
      <c r="D2283" s="1143" t="s">
        <v>5</v>
      </c>
      <c r="E2283" s="1139">
        <v>1</v>
      </c>
      <c r="F2283" s="406">
        <f>'COMP AUX'!G2051</f>
        <v>11.13</v>
      </c>
      <c r="G2283" s="435">
        <f>TRUNC(E2283*F2283,2)</f>
        <v>11.13</v>
      </c>
      <c r="H2283" s="131"/>
    </row>
    <row r="2284" spans="1:8" ht="20.100000000000001" customHeight="1">
      <c r="A2284" s="1160"/>
      <c r="B2284" s="1148"/>
      <c r="C2284" s="395" t="s">
        <v>87</v>
      </c>
      <c r="D2284" s="1144"/>
      <c r="E2284" s="1140"/>
      <c r="F2284" s="406">
        <f>'COMP AUX'!G2052</f>
        <v>10.89</v>
      </c>
      <c r="G2284" s="435">
        <f>TRUNC(E2283*F2284,2)</f>
        <v>10.89</v>
      </c>
      <c r="H2284" s="131"/>
    </row>
    <row r="2285" spans="1:8" ht="14.1" customHeight="1">
      <c r="A2285" s="131"/>
      <c r="B2285" s="131"/>
      <c r="C2285" s="131"/>
      <c r="D2285" s="131"/>
      <c r="E2285" s="131"/>
      <c r="F2285" s="412" t="s">
        <v>90</v>
      </c>
      <c r="G2285" s="435">
        <f>G2267+G2269+G2271+G2273+G2275+G2277+G2279+G2281+G2283</f>
        <v>66.45</v>
      </c>
      <c r="H2285" s="131"/>
    </row>
    <row r="2286" spans="1:8" ht="14.1" customHeight="1">
      <c r="A2286" s="131"/>
      <c r="B2286" s="131"/>
      <c r="C2286" s="131"/>
      <c r="D2286" s="131"/>
      <c r="E2286" s="131"/>
      <c r="F2286" s="412" t="s">
        <v>92</v>
      </c>
      <c r="G2286" s="435">
        <f>G2268+G2270+G2272+G2274+G2276+G2278+G2280+G2282+G2284</f>
        <v>55.87</v>
      </c>
      <c r="H2286" s="131"/>
    </row>
    <row r="2287" spans="1:8" ht="14.1" customHeight="1">
      <c r="A2287" s="413" t="s">
        <v>94</v>
      </c>
      <c r="B2287" s="131"/>
      <c r="C2287" s="131"/>
      <c r="D2287" s="131"/>
      <c r="E2287" s="131"/>
      <c r="F2287" s="412" t="s">
        <v>93</v>
      </c>
      <c r="G2287" s="437">
        <f>SUM(G2285:G2286)</f>
        <v>122.32</v>
      </c>
      <c r="H2287" s="131"/>
    </row>
    <row r="2288" spans="1:8" ht="14.1" customHeight="1">
      <c r="A2288" s="361" t="s">
        <v>95</v>
      </c>
      <c r="B2288" s="385">
        <f>G2287</f>
        <v>122.32</v>
      </c>
      <c r="C2288" s="131"/>
      <c r="D2288" s="131"/>
      <c r="E2288" s="131"/>
      <c r="F2288" s="132"/>
      <c r="G2288" s="132"/>
      <c r="H2288" s="131"/>
    </row>
    <row r="2289" spans="1:8" ht="14.1" customHeight="1">
      <c r="A2289" s="382" t="s">
        <v>2272</v>
      </c>
      <c r="B2289" s="381"/>
      <c r="C2289" s="131"/>
      <c r="D2289" s="131"/>
      <c r="E2289" s="131"/>
      <c r="F2289" s="132"/>
      <c r="G2289" s="132"/>
      <c r="H2289" s="131"/>
    </row>
    <row r="2290" spans="1:8" ht="14.1" customHeight="1">
      <c r="A2290" s="443" t="s">
        <v>2311</v>
      </c>
      <c r="B2290" s="381">
        <f>(B2288+B2289)*0.245</f>
        <v>29.968399999999999</v>
      </c>
      <c r="C2290" s="131"/>
      <c r="D2290" s="131"/>
      <c r="E2290" s="131"/>
      <c r="F2290" s="132"/>
      <c r="G2290" s="132"/>
      <c r="H2290" s="131"/>
    </row>
    <row r="2291" spans="1:8" ht="14.1" customHeight="1">
      <c r="A2291" s="361" t="s">
        <v>98</v>
      </c>
      <c r="B2291" s="386">
        <f>SUM(B2288:B2290)</f>
        <v>152.2884</v>
      </c>
      <c r="C2291" s="131"/>
      <c r="D2291" s="131"/>
      <c r="E2291" s="131"/>
      <c r="F2291" s="132"/>
      <c r="G2291" s="132"/>
      <c r="H2291" s="408"/>
    </row>
    <row r="2292" spans="1:8">
      <c r="A2292" s="362"/>
      <c r="B2292" s="363"/>
      <c r="C2292" s="364"/>
      <c r="D2292" s="362"/>
      <c r="E2292" s="363"/>
      <c r="F2292" s="363"/>
      <c r="G2292" s="363"/>
      <c r="H2292" s="362"/>
    </row>
    <row r="2294" spans="1:8">
      <c r="A2294" s="122" t="s">
        <v>1194</v>
      </c>
      <c r="B2294" s="462"/>
      <c r="C2294" s="462"/>
      <c r="D2294" s="462"/>
    </row>
    <row r="2295" spans="1:8" ht="13.5" customHeight="1">
      <c r="A2295" s="148" t="s">
        <v>1632</v>
      </c>
      <c r="B2295" s="130"/>
      <c r="C2295" s="130"/>
      <c r="D2295" s="130"/>
    </row>
    <row r="2296" spans="1:8" ht="27" customHeight="1">
      <c r="A2296" s="481" t="s">
        <v>1555</v>
      </c>
      <c r="B2296" s="1116" t="s">
        <v>1633</v>
      </c>
      <c r="C2296" s="1116"/>
      <c r="D2296" s="1116"/>
      <c r="E2296" s="123" t="s">
        <v>1452</v>
      </c>
    </row>
    <row r="2297" spans="1:8" ht="28.5" customHeight="1">
      <c r="A2297" s="309" t="s">
        <v>30</v>
      </c>
      <c r="B2297" s="354" t="s">
        <v>19</v>
      </c>
      <c r="C2297" s="293" t="s">
        <v>81</v>
      </c>
      <c r="D2297" s="294" t="s">
        <v>77</v>
      </c>
      <c r="E2297" s="294" t="s">
        <v>82</v>
      </c>
      <c r="F2297" s="295" t="s">
        <v>83</v>
      </c>
      <c r="G2297" s="355" t="s">
        <v>84</v>
      </c>
      <c r="H2297" s="131"/>
    </row>
    <row r="2298" spans="1:8" ht="18" customHeight="1">
      <c r="A2298" s="1145">
        <v>90447</v>
      </c>
      <c r="B2298" s="1147" t="s">
        <v>1524</v>
      </c>
      <c r="C2298" s="395" t="s">
        <v>104</v>
      </c>
      <c r="D2298" s="1143" t="s">
        <v>4</v>
      </c>
      <c r="E2298" s="1139">
        <v>2.2000000000000002</v>
      </c>
      <c r="F2298" s="349">
        <f>'COMP AUX'!G1610</f>
        <v>3.7633200000000002</v>
      </c>
      <c r="G2298" s="355">
        <f>TRUNC(E2298*F2298,2)</f>
        <v>8.27</v>
      </c>
      <c r="H2298" s="131"/>
    </row>
    <row r="2299" spans="1:8" ht="18" customHeight="1">
      <c r="A2299" s="1146"/>
      <c r="B2299" s="1148"/>
      <c r="C2299" s="395" t="s">
        <v>87</v>
      </c>
      <c r="D2299" s="1144"/>
      <c r="E2299" s="1140"/>
      <c r="F2299" s="349">
        <f>'COMP AUX'!G1611</f>
        <v>1.1915</v>
      </c>
      <c r="G2299" s="435">
        <f>TRUNC(E2298*F2299,2)</f>
        <v>2.62</v>
      </c>
      <c r="H2299" s="131"/>
    </row>
    <row r="2300" spans="1:8" ht="18" customHeight="1">
      <c r="A2300" s="1145">
        <v>90456</v>
      </c>
      <c r="B2300" s="1147" t="s">
        <v>1525</v>
      </c>
      <c r="C2300" s="395" t="s">
        <v>104</v>
      </c>
      <c r="D2300" s="1143" t="s">
        <v>5</v>
      </c>
      <c r="E2300" s="1139">
        <v>1</v>
      </c>
      <c r="F2300" s="406">
        <f>'COMP AUX'!G1623</f>
        <v>2.5099999999999998</v>
      </c>
      <c r="G2300" s="435">
        <f>TRUNC(E2300*F2300,2)</f>
        <v>2.5099999999999998</v>
      </c>
      <c r="H2300" s="131"/>
    </row>
    <row r="2301" spans="1:8" ht="18" customHeight="1">
      <c r="A2301" s="1146"/>
      <c r="B2301" s="1148"/>
      <c r="C2301" s="395" t="s">
        <v>87</v>
      </c>
      <c r="D2301" s="1144"/>
      <c r="E2301" s="1140"/>
      <c r="F2301" s="406">
        <f>'COMP AUX'!G1624</f>
        <v>0.78999999999999992</v>
      </c>
      <c r="G2301" s="435">
        <f>TRUNC(E2300*F2301,2)</f>
        <v>0.79</v>
      </c>
      <c r="H2301" s="131"/>
    </row>
    <row r="2302" spans="1:8" ht="18" customHeight="1">
      <c r="A2302" s="1145">
        <v>90466</v>
      </c>
      <c r="B2302" s="1147" t="s">
        <v>1526</v>
      </c>
      <c r="C2302" s="395" t="s">
        <v>104</v>
      </c>
      <c r="D2302" s="1143" t="s">
        <v>4</v>
      </c>
      <c r="E2302" s="1139">
        <v>2.2000000000000002</v>
      </c>
      <c r="F2302" s="406">
        <f>'COMP AUX'!G1638</f>
        <v>6.9399999999999995</v>
      </c>
      <c r="G2302" s="435">
        <f>TRUNC(E2302*F2302,2)</f>
        <v>15.26</v>
      </c>
      <c r="H2302" s="131"/>
    </row>
    <row r="2303" spans="1:8" ht="18" customHeight="1">
      <c r="A2303" s="1146"/>
      <c r="B2303" s="1148"/>
      <c r="C2303" s="395" t="s">
        <v>87</v>
      </c>
      <c r="D2303" s="1144"/>
      <c r="E2303" s="1140"/>
      <c r="F2303" s="406">
        <f>'COMP AUX'!G1639</f>
        <v>2.92</v>
      </c>
      <c r="G2303" s="435">
        <f>TRUNC(E2302*F2303,2)</f>
        <v>6.42</v>
      </c>
      <c r="H2303" s="131"/>
    </row>
    <row r="2304" spans="1:8" ht="18" customHeight="1">
      <c r="A2304" s="1145">
        <v>91842</v>
      </c>
      <c r="B2304" s="1147" t="s">
        <v>1527</v>
      </c>
      <c r="C2304" s="395" t="s">
        <v>104</v>
      </c>
      <c r="D2304" s="1143" t="s">
        <v>4</v>
      </c>
      <c r="E2304" s="1139">
        <v>2</v>
      </c>
      <c r="F2304" s="406">
        <f>'COMP AUX'!G1768</f>
        <v>1.92</v>
      </c>
      <c r="G2304" s="435">
        <f>TRUNC(E2304*F2304,2)</f>
        <v>3.84</v>
      </c>
      <c r="H2304" s="131"/>
    </row>
    <row r="2305" spans="1:8" ht="18" customHeight="1">
      <c r="A2305" s="1146"/>
      <c r="B2305" s="1148"/>
      <c r="C2305" s="395" t="s">
        <v>87</v>
      </c>
      <c r="D2305" s="1144"/>
      <c r="E2305" s="1140"/>
      <c r="F2305" s="406">
        <f>'COMP AUX'!G1769</f>
        <v>1.7900000000000003</v>
      </c>
      <c r="G2305" s="435">
        <f>TRUNC(E2304*F2305,2)</f>
        <v>3.58</v>
      </c>
      <c r="H2305" s="131"/>
    </row>
    <row r="2306" spans="1:8" ht="18" customHeight="1">
      <c r="A2306" s="1145">
        <v>91852</v>
      </c>
      <c r="B2306" s="1147" t="s">
        <v>1528</v>
      </c>
      <c r="C2306" s="395" t="s">
        <v>104</v>
      </c>
      <c r="D2306" s="1143" t="s">
        <v>4</v>
      </c>
      <c r="E2306" s="1139">
        <v>2.2000000000000002</v>
      </c>
      <c r="F2306" s="406">
        <f>'COMP AUX'!G1782</f>
        <v>3.4299999999999997</v>
      </c>
      <c r="G2306" s="435">
        <f>TRUNC(E2306*F2306,2)</f>
        <v>7.54</v>
      </c>
      <c r="H2306" s="131"/>
    </row>
    <row r="2307" spans="1:8" ht="18" customHeight="1">
      <c r="A2307" s="1146"/>
      <c r="B2307" s="1148"/>
      <c r="C2307" s="395" t="s">
        <v>87</v>
      </c>
      <c r="D2307" s="1144"/>
      <c r="E2307" s="1140"/>
      <c r="F2307" s="406">
        <f>'COMP AUX'!G1783</f>
        <v>2.2400000000000002</v>
      </c>
      <c r="G2307" s="435">
        <f>TRUNC(E2306*F2307,2)</f>
        <v>4.92</v>
      </c>
      <c r="H2307" s="131"/>
    </row>
    <row r="2308" spans="1:8" ht="18" customHeight="1">
      <c r="A2308" s="1181">
        <v>91926</v>
      </c>
      <c r="B2308" s="1147" t="s">
        <v>1530</v>
      </c>
      <c r="C2308" s="395" t="s">
        <v>104</v>
      </c>
      <c r="D2308" s="1143" t="s">
        <v>4</v>
      </c>
      <c r="E2308" s="1139">
        <v>12.6</v>
      </c>
      <c r="F2308" s="406">
        <f>'COMP AUX'!G1812</f>
        <v>0.79</v>
      </c>
      <c r="G2308" s="435">
        <f>TRUNC(E2308*F2308,2)</f>
        <v>9.9499999999999993</v>
      </c>
      <c r="H2308" s="131"/>
    </row>
    <row r="2309" spans="1:8" ht="18" customHeight="1">
      <c r="A2309" s="1160"/>
      <c r="B2309" s="1178"/>
      <c r="C2309" s="395" t="s">
        <v>87</v>
      </c>
      <c r="D2309" s="1144"/>
      <c r="E2309" s="1140"/>
      <c r="F2309" s="406">
        <f>'COMP AUX'!G1813</f>
        <v>1.6500000000000004</v>
      </c>
      <c r="G2309" s="435">
        <f>TRUNC(E2308*F2309,2)</f>
        <v>20.79</v>
      </c>
      <c r="H2309" s="131"/>
    </row>
    <row r="2310" spans="1:8" ht="18" customHeight="1">
      <c r="A2310" s="1181">
        <v>91937</v>
      </c>
      <c r="B2310" s="1147" t="s">
        <v>1531</v>
      </c>
      <c r="C2310" s="395" t="s">
        <v>104</v>
      </c>
      <c r="D2310" s="1143" t="s">
        <v>5</v>
      </c>
      <c r="E2310" s="1139">
        <v>0.375</v>
      </c>
      <c r="F2310" s="406">
        <f>'COMP AUX'!G1897</f>
        <v>3.4299999999999997</v>
      </c>
      <c r="G2310" s="435">
        <f>TRUNC(E2310*F2310,2)</f>
        <v>1.28</v>
      </c>
      <c r="H2310" s="131"/>
    </row>
    <row r="2311" spans="1:8" ht="18" customHeight="1">
      <c r="A2311" s="1160"/>
      <c r="B2311" s="1178"/>
      <c r="C2311" s="395" t="s">
        <v>87</v>
      </c>
      <c r="D2311" s="1144"/>
      <c r="E2311" s="1140"/>
      <c r="F2311" s="406">
        <f>'COMP AUX'!G1898</f>
        <v>4.2</v>
      </c>
      <c r="G2311" s="435">
        <f>TRUNC(E2310*F2311,2)</f>
        <v>1.57</v>
      </c>
      <c r="H2311" s="131"/>
    </row>
    <row r="2312" spans="1:8" ht="18" customHeight="1">
      <c r="A2312" s="1181">
        <v>91940</v>
      </c>
      <c r="B2312" s="1147" t="s">
        <v>1532</v>
      </c>
      <c r="C2312" s="395" t="s">
        <v>104</v>
      </c>
      <c r="D2312" s="1143" t="s">
        <v>5</v>
      </c>
      <c r="E2312" s="1139">
        <v>1</v>
      </c>
      <c r="F2312" s="406">
        <f>'COMP AUX'!G1929</f>
        <v>6.67</v>
      </c>
      <c r="G2312" s="435">
        <f>TRUNC(E2312*F2312,2)</f>
        <v>6.67</v>
      </c>
      <c r="H2312" s="131"/>
    </row>
    <row r="2313" spans="1:8" ht="18" customHeight="1">
      <c r="A2313" s="1160"/>
      <c r="B2313" s="1178"/>
      <c r="C2313" s="395" t="s">
        <v>87</v>
      </c>
      <c r="D2313" s="1144"/>
      <c r="E2313" s="1140"/>
      <c r="F2313" s="406">
        <f>'COMP AUX'!G1930</f>
        <v>4.29</v>
      </c>
      <c r="G2313" s="435">
        <f>TRUNC(E2312*F2313,2)</f>
        <v>4.29</v>
      </c>
      <c r="H2313" s="131"/>
    </row>
    <row r="2314" spans="1:8" ht="18" customHeight="1">
      <c r="A2314" s="1181">
        <v>91997</v>
      </c>
      <c r="B2314" s="1147" t="s">
        <v>1634</v>
      </c>
      <c r="C2314" s="395" t="s">
        <v>104</v>
      </c>
      <c r="D2314" s="1143" t="s">
        <v>5</v>
      </c>
      <c r="E2314" s="1139">
        <v>1</v>
      </c>
      <c r="F2314" s="406">
        <f>'COMP AUX'!G2064</f>
        <v>11.13</v>
      </c>
      <c r="G2314" s="435">
        <f>TRUNC(E2314*F2314,2)</f>
        <v>11.13</v>
      </c>
      <c r="H2314" s="131"/>
    </row>
    <row r="2315" spans="1:8" ht="18" customHeight="1">
      <c r="A2315" s="1160"/>
      <c r="B2315" s="1148"/>
      <c r="C2315" s="395" t="s">
        <v>87</v>
      </c>
      <c r="D2315" s="1144"/>
      <c r="E2315" s="1140"/>
      <c r="F2315" s="406">
        <f>'COMP AUX'!G2065</f>
        <v>12.15</v>
      </c>
      <c r="G2315" s="435">
        <f>TRUNC(E2314*F2315,2)</f>
        <v>12.15</v>
      </c>
      <c r="H2315" s="131"/>
    </row>
    <row r="2316" spans="1:8" ht="15.9" customHeight="1">
      <c r="A2316" s="131"/>
      <c r="B2316" s="131"/>
      <c r="C2316" s="131"/>
      <c r="D2316" s="131"/>
      <c r="E2316" s="131"/>
      <c r="F2316" s="412" t="s">
        <v>90</v>
      </c>
      <c r="G2316" s="435">
        <f>G2298+G2300+G2302+G2304+G2306+G2308+G2310+G2312+G2314</f>
        <v>66.45</v>
      </c>
      <c r="H2316" s="131"/>
    </row>
    <row r="2317" spans="1:8" ht="15.9" customHeight="1">
      <c r="A2317" s="131"/>
      <c r="B2317" s="131"/>
      <c r="C2317" s="131"/>
      <c r="D2317" s="131"/>
      <c r="E2317" s="131"/>
      <c r="F2317" s="412" t="s">
        <v>92</v>
      </c>
      <c r="G2317" s="435">
        <f>G2299+G2301+G2303+G2305+G2307+G2309+G2311+G2313+G2315</f>
        <v>57.129999999999995</v>
      </c>
      <c r="H2317" s="131"/>
    </row>
    <row r="2318" spans="1:8" ht="15.9" customHeight="1">
      <c r="A2318" s="413" t="s">
        <v>94</v>
      </c>
      <c r="B2318" s="131"/>
      <c r="C2318" s="131"/>
      <c r="D2318" s="131"/>
      <c r="E2318" s="131"/>
      <c r="F2318" s="412" t="s">
        <v>93</v>
      </c>
      <c r="G2318" s="437">
        <f>SUM(G2316:G2317)</f>
        <v>123.58</v>
      </c>
      <c r="H2318" s="131"/>
    </row>
    <row r="2319" spans="1:8" ht="15.9" customHeight="1">
      <c r="A2319" s="361" t="s">
        <v>95</v>
      </c>
      <c r="B2319" s="385">
        <f>G2318</f>
        <v>123.58</v>
      </c>
      <c r="C2319" s="131"/>
      <c r="D2319" s="131"/>
      <c r="E2319" s="131"/>
      <c r="F2319" s="132"/>
      <c r="G2319" s="132"/>
      <c r="H2319" s="131"/>
    </row>
    <row r="2320" spans="1:8" ht="15.9" customHeight="1">
      <c r="A2320" s="382" t="s">
        <v>2272</v>
      </c>
      <c r="B2320" s="381"/>
      <c r="C2320" s="131"/>
      <c r="D2320" s="131"/>
      <c r="E2320" s="131"/>
      <c r="F2320" s="132"/>
      <c r="G2320" s="132"/>
      <c r="H2320" s="131"/>
    </row>
    <row r="2321" spans="1:8" ht="15.9" customHeight="1">
      <c r="A2321" s="443" t="s">
        <v>2311</v>
      </c>
      <c r="B2321" s="381">
        <f>(B2319+B2320)*0.245</f>
        <v>30.277100000000001</v>
      </c>
      <c r="C2321" s="131"/>
      <c r="D2321" s="131"/>
      <c r="E2321" s="131"/>
      <c r="F2321" s="132"/>
      <c r="G2321" s="132"/>
      <c r="H2321" s="131"/>
    </row>
    <row r="2322" spans="1:8" ht="15.9" customHeight="1">
      <c r="A2322" s="361" t="s">
        <v>98</v>
      </c>
      <c r="B2322" s="386">
        <f>SUM(B2319:B2321)</f>
        <v>153.8571</v>
      </c>
      <c r="C2322" s="131"/>
      <c r="D2322" s="131"/>
      <c r="E2322" s="131"/>
      <c r="F2322" s="132"/>
      <c r="G2322" s="132"/>
      <c r="H2322" s="408"/>
    </row>
    <row r="2323" spans="1:8">
      <c r="A2323" s="362"/>
      <c r="B2323" s="363"/>
      <c r="C2323" s="364"/>
      <c r="D2323" s="362"/>
      <c r="E2323" s="363"/>
      <c r="F2323" s="363"/>
      <c r="G2323" s="363"/>
      <c r="H2323" s="362"/>
    </row>
    <row r="2325" spans="1:8">
      <c r="A2325" s="122" t="s">
        <v>1194</v>
      </c>
    </row>
    <row r="2326" spans="1:8">
      <c r="A2326" s="375" t="s">
        <v>1655</v>
      </c>
      <c r="B2326" s="136"/>
      <c r="C2326" s="136"/>
      <c r="D2326" s="136"/>
      <c r="E2326" s="136"/>
      <c r="F2326" s="136"/>
      <c r="G2326" s="136"/>
      <c r="H2326" s="136"/>
    </row>
    <row r="2327" spans="1:8" ht="24.75" customHeight="1">
      <c r="A2327" s="375" t="s">
        <v>1548</v>
      </c>
      <c r="B2327" s="508" t="s">
        <v>1654</v>
      </c>
      <c r="C2327" s="506" t="s">
        <v>1452</v>
      </c>
      <c r="D2327" s="508"/>
      <c r="E2327" s="122"/>
      <c r="F2327" s="136"/>
      <c r="G2327" s="136"/>
      <c r="H2327" s="136"/>
    </row>
    <row r="2328" spans="1:8" ht="20.399999999999999">
      <c r="A2328" s="309" t="s">
        <v>30</v>
      </c>
      <c r="B2328" s="354" t="s">
        <v>19</v>
      </c>
      <c r="C2328" s="293" t="s">
        <v>81</v>
      </c>
      <c r="D2328" s="294" t="s">
        <v>77</v>
      </c>
      <c r="E2328" s="294" t="s">
        <v>82</v>
      </c>
      <c r="F2328" s="295" t="s">
        <v>83</v>
      </c>
      <c r="G2328" s="355" t="s">
        <v>84</v>
      </c>
    </row>
    <row r="2329" spans="1:8" ht="20.399999999999999">
      <c r="A2329" s="392">
        <v>39385</v>
      </c>
      <c r="B2329" s="502" t="s">
        <v>1656</v>
      </c>
      <c r="C2329" s="369" t="s">
        <v>87</v>
      </c>
      <c r="D2329" s="369" t="s">
        <v>381</v>
      </c>
      <c r="E2329" s="377">
        <v>1</v>
      </c>
      <c r="F2329" s="503">
        <v>75.14</v>
      </c>
      <c r="G2329" s="435">
        <f>TRUNC(E2329*F2329,2)</f>
        <v>75.14</v>
      </c>
      <c r="H2329" s="136"/>
    </row>
    <row r="2330" spans="1:8" ht="14.1" customHeight="1">
      <c r="A2330" s="1127">
        <v>88247</v>
      </c>
      <c r="B2330" s="1177" t="s">
        <v>1038</v>
      </c>
      <c r="C2330" s="369" t="s">
        <v>104</v>
      </c>
      <c r="D2330" s="1194" t="s">
        <v>383</v>
      </c>
      <c r="E2330" s="1215">
        <v>0.2833</v>
      </c>
      <c r="F2330" s="503">
        <f>'COMP AUX'!G287</f>
        <v>10.98</v>
      </c>
      <c r="G2330" s="504">
        <f>TRUNC(E2330*F2330,2)</f>
        <v>3.11</v>
      </c>
      <c r="H2330" s="136"/>
    </row>
    <row r="2331" spans="1:8" ht="14.1" customHeight="1">
      <c r="A2331" s="1176"/>
      <c r="B2331" s="1178"/>
      <c r="C2331" s="369" t="s">
        <v>87</v>
      </c>
      <c r="D2331" s="1195"/>
      <c r="E2331" s="1216"/>
      <c r="F2331" s="503">
        <f>'COMP AUX'!G288</f>
        <v>4.75</v>
      </c>
      <c r="G2331" s="504">
        <f>TRUNC(E2330*F2331,2)</f>
        <v>1.34</v>
      </c>
      <c r="H2331" s="136"/>
    </row>
    <row r="2332" spans="1:8" ht="14.1" customHeight="1">
      <c r="A2332" s="1127">
        <v>88264</v>
      </c>
      <c r="B2332" s="1177" t="s">
        <v>279</v>
      </c>
      <c r="C2332" s="369" t="s">
        <v>104</v>
      </c>
      <c r="D2332" s="1194" t="s">
        <v>383</v>
      </c>
      <c r="E2332" s="1215">
        <v>0.69199999999999995</v>
      </c>
      <c r="F2332" s="503">
        <f>'COMP AUX'!G253</f>
        <v>15.71</v>
      </c>
      <c r="G2332" s="504">
        <f>TRUNC(E2332*F2332,2)</f>
        <v>10.87</v>
      </c>
      <c r="H2332" s="136"/>
    </row>
    <row r="2333" spans="1:8" ht="14.1" customHeight="1">
      <c r="A2333" s="1128"/>
      <c r="B2333" s="1183"/>
      <c r="C2333" s="369" t="s">
        <v>87</v>
      </c>
      <c r="D2333" s="1195"/>
      <c r="E2333" s="1216"/>
      <c r="F2333" s="503">
        <f>'COMP AUX'!G254</f>
        <v>4.8099999999999996</v>
      </c>
      <c r="G2333" s="504">
        <f>TRUNC(E2332*F2333,2)</f>
        <v>3.32</v>
      </c>
      <c r="H2333" s="136"/>
    </row>
    <row r="2334" spans="1:8" ht="18" customHeight="1">
      <c r="A2334" s="136"/>
      <c r="B2334" s="136"/>
      <c r="C2334" s="136"/>
      <c r="D2334" s="136"/>
      <c r="E2334" s="136"/>
      <c r="F2334" s="501" t="s">
        <v>90</v>
      </c>
      <c r="G2334" s="504">
        <f>G2330+G2332</f>
        <v>13.979999999999999</v>
      </c>
      <c r="H2334" s="136"/>
    </row>
    <row r="2335" spans="1:8" ht="18" customHeight="1">
      <c r="A2335" s="136"/>
      <c r="B2335" s="136"/>
      <c r="C2335" s="136"/>
      <c r="D2335" s="136"/>
      <c r="E2335" s="136"/>
      <c r="F2335" s="501" t="s">
        <v>92</v>
      </c>
      <c r="G2335" s="504">
        <f>G2329+G2331+G2333</f>
        <v>79.8</v>
      </c>
      <c r="H2335" s="136"/>
    </row>
    <row r="2336" spans="1:8" ht="18" customHeight="1">
      <c r="A2336" s="413" t="s">
        <v>94</v>
      </c>
      <c r="B2336" s="131"/>
      <c r="C2336" s="136"/>
      <c r="D2336" s="136"/>
      <c r="E2336" s="136"/>
      <c r="F2336" s="501" t="s">
        <v>93</v>
      </c>
      <c r="G2336" s="509">
        <f>SUM(G2334:G2335)</f>
        <v>93.78</v>
      </c>
      <c r="H2336" s="136"/>
    </row>
    <row r="2337" spans="1:8" ht="18" customHeight="1">
      <c r="A2337" s="361" t="s">
        <v>95</v>
      </c>
      <c r="B2337" s="385">
        <f>G2336</f>
        <v>93.78</v>
      </c>
      <c r="C2337" s="136"/>
      <c r="D2337" s="136"/>
      <c r="E2337" s="136"/>
      <c r="F2337" s="136"/>
      <c r="G2337" s="136"/>
      <c r="H2337" s="136"/>
    </row>
    <row r="2338" spans="1:8" ht="18" customHeight="1">
      <c r="A2338" s="382" t="s">
        <v>2272</v>
      </c>
      <c r="B2338" s="381"/>
      <c r="C2338" s="136"/>
      <c r="D2338" s="136"/>
      <c r="E2338" s="136"/>
      <c r="F2338" s="136"/>
      <c r="G2338" s="136"/>
      <c r="H2338" s="136"/>
    </row>
    <row r="2339" spans="1:8" ht="18" customHeight="1">
      <c r="A2339" s="443" t="s">
        <v>2311</v>
      </c>
      <c r="B2339" s="381">
        <f>(B2337+B2338)*0.245</f>
        <v>22.976099999999999</v>
      </c>
      <c r="C2339" s="136"/>
      <c r="D2339" s="136"/>
      <c r="E2339" s="136"/>
      <c r="F2339" s="136"/>
      <c r="G2339" s="136"/>
      <c r="H2339" s="136"/>
    </row>
    <row r="2340" spans="1:8" ht="18" customHeight="1">
      <c r="A2340" s="361" t="s">
        <v>98</v>
      </c>
      <c r="B2340" s="386">
        <f>SUM(B2337:B2339)</f>
        <v>116.7561</v>
      </c>
      <c r="C2340" s="136"/>
      <c r="D2340" s="136"/>
      <c r="E2340" s="136"/>
      <c r="F2340" s="136"/>
      <c r="G2340" s="136"/>
      <c r="H2340" s="136"/>
    </row>
    <row r="2341" spans="1:8">
      <c r="A2341" s="362"/>
      <c r="B2341" s="363"/>
      <c r="C2341" s="364"/>
      <c r="D2341" s="362"/>
      <c r="E2341" s="363"/>
      <c r="F2341" s="363"/>
      <c r="G2341" s="363"/>
      <c r="H2341" s="362"/>
    </row>
    <row r="2343" spans="1:8" ht="15" customHeight="1">
      <c r="A2343" s="122" t="s">
        <v>1194</v>
      </c>
    </row>
    <row r="2344" spans="1:8" ht="16.5" customHeight="1">
      <c r="A2344" s="375" t="s">
        <v>1649</v>
      </c>
      <c r="B2344" s="136"/>
      <c r="C2344" s="136"/>
      <c r="D2344" s="136"/>
      <c r="E2344" s="136"/>
      <c r="F2344" s="136"/>
      <c r="G2344" s="136"/>
      <c r="H2344" s="136"/>
    </row>
    <row r="2345" spans="1:8" ht="29.25" customHeight="1">
      <c r="A2345" s="375" t="s">
        <v>1548</v>
      </c>
      <c r="B2345" s="1220" t="s">
        <v>1650</v>
      </c>
      <c r="C2345" s="1220"/>
      <c r="D2345" s="1220"/>
      <c r="E2345" s="506" t="s">
        <v>1452</v>
      </c>
      <c r="F2345" s="136"/>
      <c r="G2345" s="136"/>
      <c r="H2345" s="136"/>
    </row>
    <row r="2346" spans="1:8" ht="25.5" customHeight="1">
      <c r="A2346" s="309" t="s">
        <v>30</v>
      </c>
      <c r="B2346" s="354" t="s">
        <v>19</v>
      </c>
      <c r="C2346" s="293" t="s">
        <v>81</v>
      </c>
      <c r="D2346" s="294" t="s">
        <v>77</v>
      </c>
      <c r="E2346" s="294" t="s">
        <v>82</v>
      </c>
      <c r="F2346" s="295" t="s">
        <v>83</v>
      </c>
      <c r="G2346" s="355" t="s">
        <v>84</v>
      </c>
    </row>
    <row r="2347" spans="1:8" ht="24" customHeight="1">
      <c r="A2347" s="373" t="s">
        <v>1651</v>
      </c>
      <c r="B2347" s="502" t="s">
        <v>1652</v>
      </c>
      <c r="C2347" s="369" t="s">
        <v>87</v>
      </c>
      <c r="D2347" s="369" t="s">
        <v>381</v>
      </c>
      <c r="E2347" s="377">
        <v>1</v>
      </c>
      <c r="F2347" s="503">
        <v>50.02</v>
      </c>
      <c r="G2347" s="435">
        <f>TRUNC(E2347*F2347,2)</f>
        <v>50.02</v>
      </c>
      <c r="H2347" s="136"/>
    </row>
    <row r="2348" spans="1:8" ht="15" customHeight="1">
      <c r="A2348" s="1127">
        <v>88247</v>
      </c>
      <c r="B2348" s="1177" t="s">
        <v>1038</v>
      </c>
      <c r="C2348" s="369" t="s">
        <v>104</v>
      </c>
      <c r="D2348" s="1194" t="s">
        <v>383</v>
      </c>
      <c r="E2348" s="1215">
        <v>0.18329999999999999</v>
      </c>
      <c r="F2348" s="503">
        <f>'COMP AUX'!G287</f>
        <v>10.98</v>
      </c>
      <c r="G2348" s="504">
        <f>TRUNC(E2348*F2348,2)</f>
        <v>2.0099999999999998</v>
      </c>
      <c r="H2348" s="136"/>
    </row>
    <row r="2349" spans="1:8" ht="15" customHeight="1">
      <c r="A2349" s="1176"/>
      <c r="B2349" s="1178"/>
      <c r="C2349" s="369" t="s">
        <v>87</v>
      </c>
      <c r="D2349" s="1195"/>
      <c r="E2349" s="1216"/>
      <c r="F2349" s="503">
        <f>'COMP AUX'!G288</f>
        <v>4.75</v>
      </c>
      <c r="G2349" s="504">
        <f>TRUNC(E2348*F2349,2)</f>
        <v>0.87</v>
      </c>
      <c r="H2349" s="136"/>
    </row>
    <row r="2350" spans="1:8" ht="15" customHeight="1">
      <c r="A2350" s="1127">
        <v>88264</v>
      </c>
      <c r="B2350" s="1177" t="s">
        <v>279</v>
      </c>
      <c r="C2350" s="369" t="s">
        <v>104</v>
      </c>
      <c r="D2350" s="1194" t="s">
        <v>383</v>
      </c>
      <c r="E2350" s="1215">
        <v>0.45179999999999998</v>
      </c>
      <c r="F2350" s="503">
        <f>'COMP AUX'!G253</f>
        <v>15.71</v>
      </c>
      <c r="G2350" s="504">
        <f>TRUNC(E2350*F2350,2)</f>
        <v>7.09</v>
      </c>
      <c r="H2350" s="136"/>
    </row>
    <row r="2351" spans="1:8" ht="15" customHeight="1">
      <c r="A2351" s="1128"/>
      <c r="B2351" s="1183"/>
      <c r="C2351" s="369" t="s">
        <v>87</v>
      </c>
      <c r="D2351" s="1195"/>
      <c r="E2351" s="1216"/>
      <c r="F2351" s="503">
        <f>'COMP AUX'!G254</f>
        <v>4.8099999999999996</v>
      </c>
      <c r="G2351" s="504">
        <f>TRUNC(E2350*F2351,2)</f>
        <v>2.17</v>
      </c>
      <c r="H2351" s="136"/>
    </row>
    <row r="2352" spans="1:8" ht="15" customHeight="1">
      <c r="A2352" s="136"/>
      <c r="B2352" s="136"/>
      <c r="C2352" s="136"/>
      <c r="D2352" s="136"/>
      <c r="E2352" s="136"/>
      <c r="F2352" s="501" t="s">
        <v>90</v>
      </c>
      <c r="G2352" s="504">
        <f>G2348+G2350</f>
        <v>9.1</v>
      </c>
      <c r="H2352" s="136"/>
    </row>
    <row r="2353" spans="1:8" ht="15" customHeight="1">
      <c r="A2353" s="136"/>
      <c r="B2353" s="136"/>
      <c r="C2353" s="136"/>
      <c r="D2353" s="136"/>
      <c r="E2353" s="136"/>
      <c r="F2353" s="501" t="s">
        <v>92</v>
      </c>
      <c r="G2353" s="504">
        <f>G2347+G2349+G2351</f>
        <v>53.06</v>
      </c>
      <c r="H2353" s="136"/>
    </row>
    <row r="2354" spans="1:8" ht="15" customHeight="1">
      <c r="A2354" s="413" t="s">
        <v>94</v>
      </c>
      <c r="B2354" s="131"/>
      <c r="C2354" s="136"/>
      <c r="D2354" s="136"/>
      <c r="E2354" s="136"/>
      <c r="F2354" s="501" t="s">
        <v>93</v>
      </c>
      <c r="G2354" s="505">
        <f>SUM(G2352:G2353)</f>
        <v>62.160000000000004</v>
      </c>
      <c r="H2354" s="136"/>
    </row>
    <row r="2355" spans="1:8" ht="15" customHeight="1">
      <c r="A2355" s="361" t="s">
        <v>95</v>
      </c>
      <c r="B2355" s="385">
        <f>G2354</f>
        <v>62.160000000000004</v>
      </c>
      <c r="C2355" s="136"/>
      <c r="D2355" s="136"/>
      <c r="E2355" s="136"/>
      <c r="F2355" s="136"/>
      <c r="G2355" s="136"/>
      <c r="H2355" s="136"/>
    </row>
    <row r="2356" spans="1:8" ht="15" customHeight="1">
      <c r="A2356" s="382" t="s">
        <v>2272</v>
      </c>
      <c r="B2356" s="381"/>
      <c r="C2356" s="136"/>
      <c r="D2356" s="136"/>
      <c r="E2356" s="136"/>
      <c r="F2356" s="136"/>
      <c r="G2356" s="136"/>
      <c r="H2356" s="136"/>
    </row>
    <row r="2357" spans="1:8" ht="15" customHeight="1">
      <c r="A2357" s="443" t="s">
        <v>2311</v>
      </c>
      <c r="B2357" s="381">
        <f>(B2355+B2356)*0.245</f>
        <v>15.229200000000001</v>
      </c>
      <c r="C2357" s="136"/>
      <c r="D2357" s="136"/>
      <c r="E2357" s="136"/>
      <c r="F2357" s="136"/>
      <c r="G2357" s="136"/>
      <c r="H2357" s="136"/>
    </row>
    <row r="2358" spans="1:8" ht="15" customHeight="1">
      <c r="A2358" s="361" t="s">
        <v>98</v>
      </c>
      <c r="B2358" s="386">
        <f>SUM(B2355:B2357)</f>
        <v>77.389200000000002</v>
      </c>
      <c r="C2358" s="136"/>
      <c r="D2358" s="136"/>
      <c r="E2358" s="136"/>
      <c r="F2358" s="136"/>
      <c r="G2358" s="136"/>
      <c r="H2358" s="507"/>
    </row>
    <row r="2359" spans="1:8">
      <c r="A2359" s="362"/>
      <c r="B2359" s="363"/>
      <c r="C2359" s="364"/>
      <c r="D2359" s="362"/>
      <c r="E2359" s="363"/>
      <c r="F2359" s="363"/>
      <c r="G2359" s="363"/>
      <c r="H2359" s="362"/>
    </row>
    <row r="2361" spans="1:8">
      <c r="A2361" s="122" t="s">
        <v>2709</v>
      </c>
    </row>
    <row r="2362" spans="1:8">
      <c r="A2362" s="390" t="s">
        <v>2270</v>
      </c>
      <c r="B2362" s="131"/>
      <c r="C2362" s="131"/>
      <c r="D2362" s="131"/>
      <c r="E2362" s="131"/>
      <c r="F2362" s="131"/>
      <c r="G2362" s="131"/>
      <c r="H2362" s="131"/>
    </row>
    <row r="2363" spans="1:8" ht="18.75" customHeight="1">
      <c r="A2363" s="409" t="s">
        <v>1548</v>
      </c>
      <c r="B2363" s="422" t="s">
        <v>2271</v>
      </c>
      <c r="C2363" s="612" t="s">
        <v>391</v>
      </c>
      <c r="D2363" s="131"/>
      <c r="E2363" s="131"/>
      <c r="F2363" s="131"/>
      <c r="G2363" s="131"/>
      <c r="H2363" s="131"/>
    </row>
    <row r="2364" spans="1:8" ht="20.399999999999999">
      <c r="A2364" s="309" t="s">
        <v>30</v>
      </c>
      <c r="B2364" s="354" t="s">
        <v>19</v>
      </c>
      <c r="C2364" s="293" t="s">
        <v>81</v>
      </c>
      <c r="D2364" s="294" t="s">
        <v>77</v>
      </c>
      <c r="E2364" s="294" t="s">
        <v>82</v>
      </c>
      <c r="F2364" s="295" t="s">
        <v>83</v>
      </c>
      <c r="G2364" s="355" t="s">
        <v>84</v>
      </c>
      <c r="H2364" s="131"/>
    </row>
    <row r="2365" spans="1:8" ht="14.1" customHeight="1">
      <c r="A2365" s="613" t="s">
        <v>1097</v>
      </c>
      <c r="B2365" s="614" t="s">
        <v>441</v>
      </c>
      <c r="C2365" s="615" t="s">
        <v>87</v>
      </c>
      <c r="D2365" s="615" t="s">
        <v>391</v>
      </c>
      <c r="E2365" s="615" t="s">
        <v>426</v>
      </c>
      <c r="F2365" s="615">
        <v>24.36</v>
      </c>
      <c r="G2365" s="444">
        <f>TRUNC(E2365*F2365,2)</f>
        <v>24.84</v>
      </c>
      <c r="H2365" s="131"/>
    </row>
    <row r="2366" spans="1:8" ht="14.1" customHeight="1">
      <c r="A2366" s="1145">
        <v>88247</v>
      </c>
      <c r="B2366" s="1192" t="s">
        <v>1038</v>
      </c>
      <c r="C2366" s="615" t="s">
        <v>104</v>
      </c>
      <c r="D2366" s="1143" t="s">
        <v>383</v>
      </c>
      <c r="E2366" s="1143" t="s">
        <v>1098</v>
      </c>
      <c r="F2366" s="616">
        <f>'COMP AUX'!G287</f>
        <v>10.98</v>
      </c>
      <c r="G2366" s="444">
        <f>TRUNC(E2366*F2366,2)</f>
        <v>3.4</v>
      </c>
      <c r="H2366" s="131"/>
    </row>
    <row r="2367" spans="1:8" ht="14.1" customHeight="1">
      <c r="A2367" s="1176"/>
      <c r="B2367" s="1193"/>
      <c r="C2367" s="615" t="s">
        <v>87</v>
      </c>
      <c r="D2367" s="1144"/>
      <c r="E2367" s="1144"/>
      <c r="F2367" s="616">
        <f>'COMP AUX'!G288</f>
        <v>4.75</v>
      </c>
      <c r="G2367" s="444">
        <f>TRUNC(E2366*F2367,2)</f>
        <v>1.47</v>
      </c>
      <c r="H2367" s="131"/>
    </row>
    <row r="2368" spans="1:8" ht="14.1" customHeight="1">
      <c r="A2368" s="1145">
        <v>88264</v>
      </c>
      <c r="B2368" s="1192" t="s">
        <v>279</v>
      </c>
      <c r="C2368" s="615" t="s">
        <v>104</v>
      </c>
      <c r="D2368" s="1143" t="s">
        <v>383</v>
      </c>
      <c r="E2368" s="1143" t="s">
        <v>1098</v>
      </c>
      <c r="F2368" s="616">
        <f>'COMP AUX'!G253</f>
        <v>15.71</v>
      </c>
      <c r="G2368" s="444">
        <f>TRUNC(E2368*F2368,2)</f>
        <v>4.87</v>
      </c>
      <c r="H2368" s="131"/>
    </row>
    <row r="2369" spans="1:8" ht="14.1" customHeight="1">
      <c r="A2369" s="1176"/>
      <c r="B2369" s="1249"/>
      <c r="C2369" s="615" t="s">
        <v>87</v>
      </c>
      <c r="D2369" s="1144"/>
      <c r="E2369" s="1191"/>
      <c r="F2369" s="616">
        <f>'COMP AUX'!G254</f>
        <v>4.8099999999999996</v>
      </c>
      <c r="G2369" s="444">
        <f>TRUNC(E2368*F2369,2)</f>
        <v>1.49</v>
      </c>
      <c r="H2369" s="131"/>
    </row>
    <row r="2370" spans="1:8" ht="14.1" customHeight="1">
      <c r="A2370" s="131"/>
      <c r="B2370" s="131"/>
      <c r="C2370" s="131"/>
      <c r="D2370" s="131"/>
      <c r="E2370" s="617"/>
      <c r="F2370" s="447" t="s">
        <v>90</v>
      </c>
      <c r="G2370" s="444">
        <f>G2366+G2368</f>
        <v>8.27</v>
      </c>
      <c r="H2370" s="131"/>
    </row>
    <row r="2371" spans="1:8" ht="14.1" customHeight="1">
      <c r="A2371" s="131"/>
      <c r="B2371" s="131"/>
      <c r="C2371" s="131"/>
      <c r="D2371" s="131"/>
      <c r="E2371" s="131"/>
      <c r="F2371" s="447" t="s">
        <v>92</v>
      </c>
      <c r="G2371" s="444">
        <f>G2365+G2367+G2369</f>
        <v>27.799999999999997</v>
      </c>
      <c r="H2371" s="131"/>
    </row>
    <row r="2372" spans="1:8" ht="14.1" customHeight="1">
      <c r="A2372" s="413" t="s">
        <v>94</v>
      </c>
      <c r="B2372" s="131"/>
      <c r="C2372" s="131"/>
      <c r="D2372" s="131"/>
      <c r="E2372" s="131"/>
      <c r="F2372" s="447" t="s">
        <v>93</v>
      </c>
      <c r="G2372" s="1010">
        <f>SUM(G2370:G2371)</f>
        <v>36.069999999999993</v>
      </c>
      <c r="H2372" s="131"/>
    </row>
    <row r="2373" spans="1:8" ht="14.1" customHeight="1">
      <c r="A2373" s="361" t="s">
        <v>95</v>
      </c>
      <c r="B2373" s="132">
        <f>G2372</f>
        <v>36.069999999999993</v>
      </c>
      <c r="C2373" s="131"/>
      <c r="D2373" s="131"/>
      <c r="E2373" s="131"/>
      <c r="F2373" s="131"/>
      <c r="G2373" s="131"/>
      <c r="H2373" s="131"/>
    </row>
    <row r="2374" spans="1:8" ht="14.1" customHeight="1">
      <c r="A2374" s="382" t="s">
        <v>2272</v>
      </c>
      <c r="B2374" s="381"/>
      <c r="C2374" s="131"/>
      <c r="D2374" s="131"/>
      <c r="E2374" s="131"/>
      <c r="F2374" s="131"/>
      <c r="G2374" s="131"/>
      <c r="H2374" s="131"/>
    </row>
    <row r="2375" spans="1:8" ht="14.1" customHeight="1">
      <c r="A2375" s="443" t="s">
        <v>2311</v>
      </c>
      <c r="B2375" s="381">
        <f>(B2373+B2374)*0.245</f>
        <v>8.8371499999999976</v>
      </c>
      <c r="C2375" s="131"/>
      <c r="D2375" s="131"/>
      <c r="E2375" s="131"/>
      <c r="F2375" s="131"/>
      <c r="G2375" s="131"/>
      <c r="H2375" s="131"/>
    </row>
    <row r="2376" spans="1:8" ht="14.1" customHeight="1">
      <c r="A2376" s="361" t="s">
        <v>98</v>
      </c>
      <c r="B2376" s="618">
        <f>SUM(B2373:B2375)</f>
        <v>44.907149999999987</v>
      </c>
      <c r="C2376" s="131"/>
      <c r="D2376" s="131"/>
      <c r="E2376" s="131"/>
      <c r="F2376" s="131"/>
      <c r="G2376" s="131"/>
      <c r="H2376" s="408"/>
    </row>
    <row r="2377" spans="1:8" ht="14.1" customHeight="1">
      <c r="A2377" s="362"/>
      <c r="B2377" s="363"/>
      <c r="C2377" s="364"/>
      <c r="D2377" s="362"/>
      <c r="E2377" s="363"/>
      <c r="F2377" s="363"/>
      <c r="G2377" s="363"/>
      <c r="H2377" s="362"/>
    </row>
    <row r="2379" spans="1:8" ht="14.25" customHeight="1">
      <c r="A2379" s="122" t="s">
        <v>1287</v>
      </c>
    </row>
    <row r="2380" spans="1:8" ht="15" customHeight="1">
      <c r="A2380" s="420" t="s">
        <v>1631</v>
      </c>
      <c r="B2380" s="130"/>
      <c r="C2380" s="130"/>
      <c r="D2380" s="130"/>
      <c r="E2380" s="130"/>
      <c r="F2380" s="130"/>
      <c r="G2380" s="130"/>
      <c r="H2380" s="130"/>
    </row>
    <row r="2381" spans="1:8" ht="39.75" customHeight="1">
      <c r="A2381" s="481" t="s">
        <v>1549</v>
      </c>
      <c r="B2381" s="1116" t="s">
        <v>1630</v>
      </c>
      <c r="C2381" s="1116"/>
      <c r="D2381" s="1116"/>
      <c r="E2381" s="1116"/>
      <c r="F2381" s="420" t="s">
        <v>1452</v>
      </c>
      <c r="G2381" s="130"/>
      <c r="H2381" s="130"/>
    </row>
    <row r="2382" spans="1:8" ht="27.75" customHeight="1">
      <c r="A2382" s="309" t="s">
        <v>30</v>
      </c>
      <c r="B2382" s="354" t="s">
        <v>19</v>
      </c>
      <c r="C2382" s="293" t="s">
        <v>81</v>
      </c>
      <c r="D2382" s="294" t="s">
        <v>77</v>
      </c>
      <c r="E2382" s="294" t="s">
        <v>82</v>
      </c>
      <c r="F2382" s="295" t="s">
        <v>83</v>
      </c>
      <c r="G2382" s="355" t="s">
        <v>84</v>
      </c>
    </row>
    <row r="2383" spans="1:8" ht="18" customHeight="1">
      <c r="A2383" s="1117">
        <v>89356</v>
      </c>
      <c r="B2383" s="1119" t="s">
        <v>1658</v>
      </c>
      <c r="C2383" s="293" t="s">
        <v>104</v>
      </c>
      <c r="D2383" s="1121" t="s">
        <v>4</v>
      </c>
      <c r="E2383" s="1212">
        <v>2.14</v>
      </c>
      <c r="F2383" s="837">
        <v>13.01</v>
      </c>
      <c r="G2383" s="355">
        <f>TRUNC(E2383*F2383,2)</f>
        <v>27.84</v>
      </c>
    </row>
    <row r="2384" spans="1:8" ht="18" customHeight="1">
      <c r="A2384" s="1118"/>
      <c r="B2384" s="1120"/>
      <c r="C2384" s="438" t="s">
        <v>87</v>
      </c>
      <c r="D2384" s="1122"/>
      <c r="E2384" s="1213"/>
      <c r="F2384" s="858">
        <v>3.23</v>
      </c>
      <c r="G2384" s="441">
        <f>TRUNC(E2383*F2384,2)</f>
        <v>6.91</v>
      </c>
      <c r="H2384" s="130"/>
    </row>
    <row r="2385" spans="1:8" ht="18" customHeight="1">
      <c r="A2385" s="1117">
        <v>89362</v>
      </c>
      <c r="B2385" s="1119" t="s">
        <v>1659</v>
      </c>
      <c r="C2385" s="293" t="s">
        <v>104</v>
      </c>
      <c r="D2385" s="1121" t="s">
        <v>5</v>
      </c>
      <c r="E2385" s="1212">
        <v>1.18</v>
      </c>
      <c r="F2385" s="858">
        <v>5.28</v>
      </c>
      <c r="G2385" s="414">
        <f>TRUNC(E2385*F2385,2)</f>
        <v>6.23</v>
      </c>
      <c r="H2385" s="130"/>
    </row>
    <row r="2386" spans="1:8" ht="18" customHeight="1">
      <c r="A2386" s="1118"/>
      <c r="B2386" s="1120"/>
      <c r="C2386" s="438" t="s">
        <v>87</v>
      </c>
      <c r="D2386" s="1122"/>
      <c r="E2386" s="1213"/>
      <c r="F2386" s="858">
        <v>1.76</v>
      </c>
      <c r="G2386" s="441">
        <f>TRUNC(E2385*F2386,2)</f>
        <v>2.0699999999999998</v>
      </c>
      <c r="H2386" s="130"/>
    </row>
    <row r="2387" spans="1:8" ht="18" customHeight="1">
      <c r="A2387" s="1117">
        <v>89366</v>
      </c>
      <c r="B2387" s="1119" t="s">
        <v>1660</v>
      </c>
      <c r="C2387" s="438" t="s">
        <v>104</v>
      </c>
      <c r="D2387" s="1121" t="s">
        <v>5</v>
      </c>
      <c r="E2387" s="1212">
        <v>1</v>
      </c>
      <c r="F2387" s="858">
        <v>5.28</v>
      </c>
      <c r="G2387" s="414">
        <f>TRUNC(E2387*F2387,2)</f>
        <v>5.28</v>
      </c>
      <c r="H2387" s="130"/>
    </row>
    <row r="2388" spans="1:8" ht="18" customHeight="1">
      <c r="A2388" s="1118"/>
      <c r="B2388" s="1120"/>
      <c r="C2388" s="438" t="s">
        <v>87</v>
      </c>
      <c r="D2388" s="1122"/>
      <c r="E2388" s="1213"/>
      <c r="F2388" s="858">
        <v>6.73</v>
      </c>
      <c r="G2388" s="414">
        <f>TRUNC(E2387*F2388,2)</f>
        <v>6.73</v>
      </c>
      <c r="H2388" s="130"/>
    </row>
    <row r="2389" spans="1:8" ht="18" customHeight="1">
      <c r="A2389" s="1117">
        <v>89395</v>
      </c>
      <c r="B2389" s="1119" t="s">
        <v>1661</v>
      </c>
      <c r="C2389" s="438" t="s">
        <v>104</v>
      </c>
      <c r="D2389" s="1121" t="s">
        <v>5</v>
      </c>
      <c r="E2389" s="1212">
        <v>0.89</v>
      </c>
      <c r="F2389" s="858">
        <v>7.05</v>
      </c>
      <c r="G2389" s="414">
        <f>TRUNC(E2389*F2389,2)</f>
        <v>6.27</v>
      </c>
      <c r="H2389" s="130"/>
    </row>
    <row r="2390" spans="1:8" ht="18" customHeight="1">
      <c r="A2390" s="1118"/>
      <c r="B2390" s="1120"/>
      <c r="C2390" s="438" t="s">
        <v>87</v>
      </c>
      <c r="D2390" s="1122"/>
      <c r="E2390" s="1213"/>
      <c r="F2390" s="858">
        <v>2.83</v>
      </c>
      <c r="G2390" s="441">
        <f>TRUNC(E2389*F2390,2)</f>
        <v>2.5099999999999998</v>
      </c>
      <c r="H2390" s="130"/>
    </row>
    <row r="2391" spans="1:8" ht="18" customHeight="1">
      <c r="A2391" s="1117">
        <v>90443</v>
      </c>
      <c r="B2391" s="1235" t="s">
        <v>1662</v>
      </c>
      <c r="C2391" s="438" t="s">
        <v>104</v>
      </c>
      <c r="D2391" s="1121" t="s">
        <v>4</v>
      </c>
      <c r="E2391" s="1212">
        <v>2.14</v>
      </c>
      <c r="F2391" s="415">
        <f>'COMP AUX'!G1597</f>
        <v>7.7186000000000003</v>
      </c>
      <c r="G2391" s="414">
        <f>TRUNC(E2391*F2391,2)</f>
        <v>16.510000000000002</v>
      </c>
      <c r="H2391" s="130"/>
    </row>
    <row r="2392" spans="1:8" ht="18" customHeight="1">
      <c r="A2392" s="1118"/>
      <c r="B2392" s="1236"/>
      <c r="C2392" s="438" t="s">
        <v>87</v>
      </c>
      <c r="D2392" s="1122"/>
      <c r="E2392" s="1213"/>
      <c r="F2392" s="415">
        <f>'COMP AUX'!G1598</f>
        <v>2.278</v>
      </c>
      <c r="G2392" s="441">
        <f>TRUNC(E2391*F2392,2)</f>
        <v>4.87</v>
      </c>
      <c r="H2392" s="130"/>
    </row>
    <row r="2393" spans="1:8" ht="18" customHeight="1">
      <c r="A2393" s="1117">
        <v>90466</v>
      </c>
      <c r="B2393" s="1235" t="s">
        <v>1526</v>
      </c>
      <c r="C2393" s="438" t="s">
        <v>104</v>
      </c>
      <c r="D2393" s="1121" t="s">
        <v>4</v>
      </c>
      <c r="E2393" s="1212">
        <v>2.14</v>
      </c>
      <c r="F2393" s="415">
        <f>'COMP AUX'!G1638</f>
        <v>6.9399999999999995</v>
      </c>
      <c r="G2393" s="414">
        <f>TRUNC(E2393*F2393,2)</f>
        <v>14.85</v>
      </c>
      <c r="H2393" s="130"/>
    </row>
    <row r="2394" spans="1:8" ht="18" customHeight="1">
      <c r="A2394" s="1118"/>
      <c r="B2394" s="1236"/>
      <c r="C2394" s="438" t="s">
        <v>87</v>
      </c>
      <c r="D2394" s="1122"/>
      <c r="E2394" s="1213"/>
      <c r="F2394" s="415">
        <f>'COMP AUX'!G1639</f>
        <v>2.92</v>
      </c>
      <c r="G2394" s="441">
        <f>TRUNC(E2393*F2394,2)</f>
        <v>6.24</v>
      </c>
      <c r="H2394" s="130"/>
    </row>
    <row r="2395" spans="1:8" ht="15.9" customHeight="1">
      <c r="A2395" s="130"/>
      <c r="B2395" s="130"/>
      <c r="C2395" s="130"/>
      <c r="D2395" s="130"/>
      <c r="E2395" s="130"/>
      <c r="F2395" s="416" t="s">
        <v>90</v>
      </c>
      <c r="G2395" s="414">
        <f>G2383+G2385+G2387+G2389+G2391+G2393</f>
        <v>76.98</v>
      </c>
      <c r="H2395" s="130"/>
    </row>
    <row r="2396" spans="1:8" ht="15.9" customHeight="1">
      <c r="A2396" s="130"/>
      <c r="B2396" s="130"/>
      <c r="C2396" s="130"/>
      <c r="D2396" s="130"/>
      <c r="E2396" s="130"/>
      <c r="F2396" s="416" t="s">
        <v>92</v>
      </c>
      <c r="G2396" s="414">
        <f>G2384+G2386+G2388+G2390+G2392+G2394</f>
        <v>29.33</v>
      </c>
      <c r="H2396" s="130"/>
    </row>
    <row r="2397" spans="1:8" ht="15.9" customHeight="1">
      <c r="A2397" s="413" t="s">
        <v>94</v>
      </c>
      <c r="B2397" s="131"/>
      <c r="C2397" s="130"/>
      <c r="D2397" s="130"/>
      <c r="E2397" s="130"/>
      <c r="F2397" s="416" t="s">
        <v>93</v>
      </c>
      <c r="G2397" s="829">
        <f>SUM(G2395:G2396)</f>
        <v>106.31</v>
      </c>
      <c r="H2397" s="130"/>
    </row>
    <row r="2398" spans="1:8" ht="15.9" customHeight="1">
      <c r="A2398" s="361" t="s">
        <v>95</v>
      </c>
      <c r="B2398" s="385">
        <f>G2397</f>
        <v>106.31</v>
      </c>
      <c r="C2398" s="130"/>
      <c r="D2398" s="130"/>
      <c r="E2398" s="130"/>
      <c r="F2398" s="126"/>
      <c r="G2398" s="126"/>
      <c r="H2398" s="130"/>
    </row>
    <row r="2399" spans="1:8" ht="15.9" customHeight="1">
      <c r="A2399" s="382" t="s">
        <v>2272</v>
      </c>
      <c r="B2399" s="381"/>
      <c r="C2399" s="130"/>
      <c r="D2399" s="130"/>
      <c r="E2399" s="130"/>
      <c r="F2399" s="126"/>
      <c r="G2399" s="126"/>
      <c r="H2399" s="130"/>
    </row>
    <row r="2400" spans="1:8" ht="15.9" customHeight="1">
      <c r="A2400" s="443" t="s">
        <v>2311</v>
      </c>
      <c r="B2400" s="381">
        <f>(B2398+B2399)*0.245</f>
        <v>26.045950000000001</v>
      </c>
      <c r="C2400" s="130"/>
      <c r="D2400" s="130"/>
      <c r="E2400" s="130"/>
      <c r="F2400" s="126"/>
      <c r="G2400" s="126"/>
      <c r="H2400" s="130"/>
    </row>
    <row r="2401" spans="1:8" ht="15.9" customHeight="1">
      <c r="A2401" s="361" t="s">
        <v>98</v>
      </c>
      <c r="B2401" s="386">
        <f>SUM(B2398:B2400)</f>
        <v>132.35595000000001</v>
      </c>
      <c r="C2401" s="130"/>
      <c r="D2401" s="130"/>
      <c r="E2401" s="130"/>
      <c r="F2401" s="126"/>
      <c r="G2401" s="126"/>
      <c r="H2401" s="130"/>
    </row>
    <row r="2402" spans="1:8">
      <c r="A2402" s="362"/>
      <c r="B2402" s="363"/>
      <c r="C2402" s="364"/>
      <c r="D2402" s="362"/>
      <c r="E2402" s="363"/>
      <c r="F2402" s="363"/>
      <c r="G2402" s="363"/>
      <c r="H2402" s="362"/>
    </row>
    <row r="2404" spans="1:8" ht="14.25" customHeight="1">
      <c r="A2404" s="826" t="s">
        <v>2710</v>
      </c>
    </row>
    <row r="2405" spans="1:8" ht="15" customHeight="1">
      <c r="A2405" s="786" t="s">
        <v>2761</v>
      </c>
      <c r="B2405" s="785"/>
      <c r="C2405" s="785"/>
      <c r="D2405" s="785"/>
      <c r="E2405" s="785"/>
      <c r="F2405" s="785"/>
      <c r="G2405" s="785"/>
      <c r="H2405" s="785"/>
    </row>
    <row r="2406" spans="1:8" ht="39.75" customHeight="1">
      <c r="A2406" s="481" t="s">
        <v>1549</v>
      </c>
      <c r="B2406" s="1239" t="s">
        <v>2762</v>
      </c>
      <c r="C2406" s="1239"/>
      <c r="D2406" s="1239"/>
      <c r="E2406" s="1239"/>
      <c r="F2406" s="786" t="s">
        <v>1452</v>
      </c>
      <c r="G2406" s="785"/>
      <c r="H2406" s="785"/>
    </row>
    <row r="2407" spans="1:8" ht="27.75" customHeight="1">
      <c r="A2407" s="790" t="s">
        <v>30</v>
      </c>
      <c r="B2407" s="354" t="s">
        <v>19</v>
      </c>
      <c r="C2407" s="293" t="s">
        <v>81</v>
      </c>
      <c r="D2407" s="780" t="s">
        <v>77</v>
      </c>
      <c r="E2407" s="780" t="s">
        <v>82</v>
      </c>
      <c r="F2407" s="295" t="s">
        <v>83</v>
      </c>
      <c r="G2407" s="355" t="s">
        <v>84</v>
      </c>
    </row>
    <row r="2408" spans="1:8" ht="18" customHeight="1">
      <c r="A2408" s="1196">
        <v>88248</v>
      </c>
      <c r="B2408" s="1218" t="s">
        <v>307</v>
      </c>
      <c r="C2408" s="293" t="s">
        <v>104</v>
      </c>
      <c r="D2408" s="1121" t="s">
        <v>383</v>
      </c>
      <c r="E2408" s="1212">
        <v>2.14</v>
      </c>
      <c r="F2408" s="837">
        <f>'COMP AUX'!G321</f>
        <v>10.98</v>
      </c>
      <c r="G2408" s="355">
        <f>TRUNC(E2408*F2408,2)</f>
        <v>23.49</v>
      </c>
    </row>
    <row r="2409" spans="1:8" ht="18" customHeight="1">
      <c r="A2409" s="1197"/>
      <c r="B2409" s="1219"/>
      <c r="C2409" s="787" t="s">
        <v>87</v>
      </c>
      <c r="D2409" s="1122"/>
      <c r="E2409" s="1213"/>
      <c r="F2409" s="858">
        <f>'COMP AUX'!G322</f>
        <v>4.4000000000000004</v>
      </c>
      <c r="G2409" s="441">
        <f>TRUNC(E2408*F2409,2)</f>
        <v>9.41</v>
      </c>
      <c r="H2409" s="785"/>
    </row>
    <row r="2410" spans="1:8" ht="18" customHeight="1">
      <c r="A2410" s="1196">
        <v>88267</v>
      </c>
      <c r="B2410" s="1218" t="s">
        <v>271</v>
      </c>
      <c r="C2410" s="293" t="s">
        <v>104</v>
      </c>
      <c r="D2410" s="1121" t="s">
        <v>383</v>
      </c>
      <c r="E2410" s="1212">
        <v>1.18</v>
      </c>
      <c r="F2410" s="858">
        <f>'COMP AUX'!G338</f>
        <v>15.5</v>
      </c>
      <c r="G2410" s="414">
        <f>TRUNC(E2410*F2410,2)</f>
        <v>18.29</v>
      </c>
      <c r="H2410" s="785"/>
    </row>
    <row r="2411" spans="1:8" ht="18" customHeight="1">
      <c r="A2411" s="1197"/>
      <c r="B2411" s="1219"/>
      <c r="C2411" s="787" t="s">
        <v>87</v>
      </c>
      <c r="D2411" s="1122"/>
      <c r="E2411" s="1213"/>
      <c r="F2411" s="858">
        <f>'COMP AUX'!G339</f>
        <v>4.4000000000000004</v>
      </c>
      <c r="G2411" s="441">
        <f>TRUNC(E2410*F2411,2)</f>
        <v>5.19</v>
      </c>
      <c r="H2411" s="785"/>
    </row>
    <row r="2412" spans="1:8" ht="18" customHeight="1">
      <c r="A2412" s="859" t="s">
        <v>2763</v>
      </c>
      <c r="B2412" s="860" t="s">
        <v>2388</v>
      </c>
      <c r="C2412" s="787" t="s">
        <v>87</v>
      </c>
      <c r="D2412" s="783" t="s">
        <v>2713</v>
      </c>
      <c r="E2412" s="788">
        <v>9.4999999999999998E-3</v>
      </c>
      <c r="F2412" s="858">
        <v>15.63</v>
      </c>
      <c r="G2412" s="441">
        <f>TRUNC(E2412*F2412,2)</f>
        <v>0.14000000000000001</v>
      </c>
      <c r="H2412" s="785"/>
    </row>
    <row r="2413" spans="1:8" ht="27" customHeight="1">
      <c r="A2413" s="859" t="s">
        <v>2765</v>
      </c>
      <c r="B2413" s="860" t="s">
        <v>2764</v>
      </c>
      <c r="C2413" s="787" t="s">
        <v>87</v>
      </c>
      <c r="D2413" s="783" t="s">
        <v>2713</v>
      </c>
      <c r="E2413" s="788">
        <v>1</v>
      </c>
      <c r="F2413" s="858">
        <v>83.39</v>
      </c>
      <c r="G2413" s="441">
        <f>TRUNC(E2413*F2413,2)</f>
        <v>83.39</v>
      </c>
      <c r="H2413" s="785"/>
    </row>
    <row r="2414" spans="1:8" ht="15.9" customHeight="1">
      <c r="A2414" s="785"/>
      <c r="B2414" s="785"/>
      <c r="C2414" s="785"/>
      <c r="D2414" s="785"/>
      <c r="E2414" s="785"/>
      <c r="F2414" s="416" t="s">
        <v>90</v>
      </c>
      <c r="G2414" s="414">
        <f>G2408+G2410</f>
        <v>41.78</v>
      </c>
      <c r="H2414" s="785"/>
    </row>
    <row r="2415" spans="1:8" ht="15.9" customHeight="1">
      <c r="A2415" s="785"/>
      <c r="B2415" s="785"/>
      <c r="C2415" s="785"/>
      <c r="D2415" s="785"/>
      <c r="E2415" s="785"/>
      <c r="F2415" s="416" t="s">
        <v>92</v>
      </c>
      <c r="G2415" s="414">
        <f>G2409+G2411+G2412+G2413</f>
        <v>98.13</v>
      </c>
      <c r="H2415" s="785"/>
    </row>
    <row r="2416" spans="1:8" ht="15.9" customHeight="1">
      <c r="A2416" s="413" t="s">
        <v>94</v>
      </c>
      <c r="B2416" s="792"/>
      <c r="C2416" s="785"/>
      <c r="D2416" s="785"/>
      <c r="E2416" s="785"/>
      <c r="F2416" s="416" t="s">
        <v>93</v>
      </c>
      <c r="G2416" s="829">
        <f>SUM(G2414:G2415)</f>
        <v>139.91</v>
      </c>
      <c r="H2416" s="785"/>
    </row>
    <row r="2417" spans="1:8" ht="15.9" customHeight="1">
      <c r="A2417" s="361" t="s">
        <v>95</v>
      </c>
      <c r="B2417" s="385">
        <f>G2416</f>
        <v>139.91</v>
      </c>
      <c r="C2417" s="785"/>
      <c r="D2417" s="785"/>
      <c r="E2417" s="785"/>
      <c r="F2417" s="126"/>
      <c r="G2417" s="126"/>
      <c r="H2417" s="785"/>
    </row>
    <row r="2418" spans="1:8" ht="15.9" customHeight="1">
      <c r="A2418" s="382" t="s">
        <v>2272</v>
      </c>
      <c r="B2418" s="381"/>
      <c r="C2418" s="785"/>
      <c r="D2418" s="785"/>
      <c r="E2418" s="785"/>
      <c r="F2418" s="126"/>
      <c r="G2418" s="126"/>
      <c r="H2418" s="785"/>
    </row>
    <row r="2419" spans="1:8" ht="15.9" customHeight="1">
      <c r="A2419" s="443" t="s">
        <v>2311</v>
      </c>
      <c r="B2419" s="381">
        <f>(B2417+B2418)*0.245</f>
        <v>34.277949999999997</v>
      </c>
      <c r="C2419" s="785"/>
      <c r="D2419" s="785"/>
      <c r="E2419" s="785"/>
      <c r="F2419" s="126"/>
      <c r="G2419" s="126"/>
      <c r="H2419" s="785"/>
    </row>
    <row r="2420" spans="1:8" ht="15.9" customHeight="1">
      <c r="A2420" s="361" t="s">
        <v>98</v>
      </c>
      <c r="B2420" s="386">
        <f>SUM(B2417:B2419)</f>
        <v>174.18795</v>
      </c>
      <c r="C2420" s="785"/>
      <c r="D2420" s="785"/>
      <c r="E2420" s="785"/>
      <c r="F2420" s="126"/>
      <c r="G2420" s="126"/>
      <c r="H2420" s="785"/>
    </row>
    <row r="2421" spans="1:8">
      <c r="A2421" s="362"/>
      <c r="B2421" s="363"/>
      <c r="C2421" s="364"/>
      <c r="D2421" s="362"/>
      <c r="E2421" s="363"/>
      <c r="F2421" s="363"/>
      <c r="G2421" s="363"/>
      <c r="H2421" s="362"/>
    </row>
    <row r="2423" spans="1:8">
      <c r="A2423" s="122" t="s">
        <v>2710</v>
      </c>
    </row>
    <row r="2424" spans="1:8">
      <c r="A2424" s="1237" t="s">
        <v>167</v>
      </c>
      <c r="B2424" s="1238"/>
      <c r="C2424" s="1238"/>
      <c r="D2424" s="1238"/>
      <c r="E2424" s="1238"/>
      <c r="F2424" s="1238"/>
      <c r="G2424" s="1238"/>
      <c r="H2424" s="1238"/>
    </row>
    <row r="2425" spans="1:8" ht="53.25" customHeight="1">
      <c r="A2425" s="452" t="s">
        <v>1549</v>
      </c>
      <c r="B2425" s="1136" t="s">
        <v>1690</v>
      </c>
      <c r="C2425" s="1136"/>
      <c r="D2425" s="1136"/>
      <c r="E2425" s="1136"/>
      <c r="F2425" s="422" t="s">
        <v>1452</v>
      </c>
      <c r="G2425" s="131"/>
      <c r="H2425" s="131"/>
    </row>
    <row r="2426" spans="1:8" ht="27" customHeight="1">
      <c r="A2426" s="309" t="s">
        <v>30</v>
      </c>
      <c r="B2426" s="354" t="s">
        <v>19</v>
      </c>
      <c r="C2426" s="293" t="s">
        <v>81</v>
      </c>
      <c r="D2426" s="294" t="s">
        <v>77</v>
      </c>
      <c r="E2426" s="294" t="s">
        <v>82</v>
      </c>
      <c r="F2426" s="295" t="s">
        <v>83</v>
      </c>
      <c r="G2426" s="355" t="s">
        <v>84</v>
      </c>
      <c r="H2426" s="131"/>
    </row>
    <row r="2427" spans="1:8" ht="24.9" customHeight="1">
      <c r="A2427" s="492">
        <v>6019</v>
      </c>
      <c r="B2427" s="446" t="s">
        <v>1677</v>
      </c>
      <c r="C2427" s="395" t="s">
        <v>87</v>
      </c>
      <c r="D2427" s="395" t="s">
        <v>5</v>
      </c>
      <c r="E2427" s="450">
        <v>1</v>
      </c>
      <c r="F2427" s="857">
        <v>31.7</v>
      </c>
      <c r="G2427" s="445">
        <f t="shared" ref="G2427:G2444" si="92">TRUNC(E2427*F2427,2)</f>
        <v>31.7</v>
      </c>
      <c r="H2427" s="131"/>
    </row>
    <row r="2428" spans="1:8" ht="24.9" customHeight="1">
      <c r="A2428" s="492">
        <v>6010</v>
      </c>
      <c r="B2428" s="446" t="s">
        <v>1678</v>
      </c>
      <c r="C2428" s="395" t="s">
        <v>87</v>
      </c>
      <c r="D2428" s="395" t="s">
        <v>5</v>
      </c>
      <c r="E2428" s="450">
        <v>2</v>
      </c>
      <c r="F2428" s="857">
        <v>54.55</v>
      </c>
      <c r="G2428" s="445">
        <f t="shared" si="92"/>
        <v>109.1</v>
      </c>
      <c r="H2428" s="131"/>
    </row>
    <row r="2429" spans="1:8" ht="15" customHeight="1">
      <c r="A2429" s="492">
        <v>119</v>
      </c>
      <c r="B2429" s="451" t="s">
        <v>1679</v>
      </c>
      <c r="C2429" s="395" t="s">
        <v>87</v>
      </c>
      <c r="D2429" s="395" t="s">
        <v>5</v>
      </c>
      <c r="E2429" s="450">
        <v>1.8</v>
      </c>
      <c r="F2429" s="810">
        <v>9.1300000000000008</v>
      </c>
      <c r="G2429" s="396">
        <f t="shared" si="92"/>
        <v>16.43</v>
      </c>
      <c r="H2429" s="131"/>
    </row>
    <row r="2430" spans="1:8" ht="15" customHeight="1">
      <c r="A2430" s="492">
        <v>38383</v>
      </c>
      <c r="B2430" s="451" t="s">
        <v>1665</v>
      </c>
      <c r="C2430" s="395" t="s">
        <v>87</v>
      </c>
      <c r="D2430" s="395" t="s">
        <v>5</v>
      </c>
      <c r="E2430" s="450">
        <v>1</v>
      </c>
      <c r="F2430" s="857">
        <v>1.99</v>
      </c>
      <c r="G2430" s="445">
        <f t="shared" si="92"/>
        <v>1.99</v>
      </c>
      <c r="H2430" s="131"/>
    </row>
    <row r="2431" spans="1:8" ht="24.9" customHeight="1">
      <c r="A2431" s="492">
        <v>20083</v>
      </c>
      <c r="B2431" s="446" t="s">
        <v>299</v>
      </c>
      <c r="C2431" s="395" t="s">
        <v>87</v>
      </c>
      <c r="D2431" s="395" t="s">
        <v>5</v>
      </c>
      <c r="E2431" s="450">
        <v>0.24</v>
      </c>
      <c r="F2431" s="857">
        <v>71.62</v>
      </c>
      <c r="G2431" s="445">
        <f t="shared" si="92"/>
        <v>17.18</v>
      </c>
      <c r="H2431" s="131"/>
    </row>
    <row r="2432" spans="1:8" ht="24.9" customHeight="1">
      <c r="A2432" s="492">
        <v>9869</v>
      </c>
      <c r="B2432" s="446" t="s">
        <v>1680</v>
      </c>
      <c r="C2432" s="395" t="s">
        <v>87</v>
      </c>
      <c r="D2432" s="395" t="s">
        <v>5</v>
      </c>
      <c r="E2432" s="450">
        <v>1</v>
      </c>
      <c r="F2432" s="810">
        <v>6.33</v>
      </c>
      <c r="G2432" s="396">
        <f t="shared" si="92"/>
        <v>6.33</v>
      </c>
      <c r="H2432" s="131"/>
    </row>
    <row r="2433" spans="1:8" ht="24.9" customHeight="1">
      <c r="A2433" s="492">
        <v>9875</v>
      </c>
      <c r="B2433" s="446" t="s">
        <v>1681</v>
      </c>
      <c r="C2433" s="395" t="s">
        <v>87</v>
      </c>
      <c r="D2433" s="395" t="s">
        <v>5</v>
      </c>
      <c r="E2433" s="450">
        <v>1</v>
      </c>
      <c r="F2433" s="857">
        <v>10.56</v>
      </c>
      <c r="G2433" s="445">
        <f t="shared" si="92"/>
        <v>10.56</v>
      </c>
      <c r="H2433" s="131"/>
    </row>
    <row r="2434" spans="1:8" ht="24.9" customHeight="1">
      <c r="A2434" s="492">
        <v>66</v>
      </c>
      <c r="B2434" s="446" t="s">
        <v>1682</v>
      </c>
      <c r="C2434" s="395" t="s">
        <v>87</v>
      </c>
      <c r="D2434" s="395" t="s">
        <v>5</v>
      </c>
      <c r="E2434" s="450">
        <v>2</v>
      </c>
      <c r="F2434" s="810">
        <v>27.16</v>
      </c>
      <c r="G2434" s="396">
        <f t="shared" si="92"/>
        <v>54.32</v>
      </c>
      <c r="H2434" s="131"/>
    </row>
    <row r="2435" spans="1:8" ht="24.9" customHeight="1">
      <c r="A2435" s="492">
        <v>7140</v>
      </c>
      <c r="B2435" s="446" t="s">
        <v>1683</v>
      </c>
      <c r="C2435" s="395" t="s">
        <v>87</v>
      </c>
      <c r="D2435" s="395" t="s">
        <v>5</v>
      </c>
      <c r="E2435" s="450">
        <v>1</v>
      </c>
      <c r="F2435" s="857">
        <v>3.14</v>
      </c>
      <c r="G2435" s="445">
        <f t="shared" si="92"/>
        <v>3.14</v>
      </c>
      <c r="H2435" s="131"/>
    </row>
    <row r="2436" spans="1:8" ht="24.9" customHeight="1">
      <c r="A2436" s="492">
        <v>3540</v>
      </c>
      <c r="B2436" s="446" t="s">
        <v>1684</v>
      </c>
      <c r="C2436" s="395" t="s">
        <v>87</v>
      </c>
      <c r="D2436" s="395" t="s">
        <v>5</v>
      </c>
      <c r="E2436" s="450">
        <v>1</v>
      </c>
      <c r="F2436" s="857">
        <v>4.26</v>
      </c>
      <c r="G2436" s="445">
        <f t="shared" si="92"/>
        <v>4.26</v>
      </c>
      <c r="H2436" s="131"/>
    </row>
    <row r="2437" spans="1:8" ht="24.9" customHeight="1">
      <c r="A2437" s="492">
        <v>3536</v>
      </c>
      <c r="B2437" s="446" t="s">
        <v>1685</v>
      </c>
      <c r="C2437" s="395" t="s">
        <v>87</v>
      </c>
      <c r="D2437" s="395" t="s">
        <v>5</v>
      </c>
      <c r="E2437" s="450">
        <v>1</v>
      </c>
      <c r="F2437" s="857">
        <v>1.66</v>
      </c>
      <c r="G2437" s="445">
        <f t="shared" si="92"/>
        <v>1.66</v>
      </c>
      <c r="H2437" s="131"/>
    </row>
    <row r="2438" spans="1:8" ht="24.9" customHeight="1">
      <c r="A2438" s="492">
        <v>112</v>
      </c>
      <c r="B2438" s="446" t="s">
        <v>1686</v>
      </c>
      <c r="C2438" s="395" t="s">
        <v>87</v>
      </c>
      <c r="D2438" s="395" t="s">
        <v>5</v>
      </c>
      <c r="E2438" s="450">
        <v>2</v>
      </c>
      <c r="F2438" s="810">
        <v>3.35</v>
      </c>
      <c r="G2438" s="396">
        <f t="shared" si="92"/>
        <v>6.7</v>
      </c>
      <c r="H2438" s="131"/>
    </row>
    <row r="2439" spans="1:8" ht="24.9" customHeight="1">
      <c r="A2439" s="492">
        <v>108</v>
      </c>
      <c r="B2439" s="446" t="s">
        <v>1687</v>
      </c>
      <c r="C2439" s="395" t="s">
        <v>87</v>
      </c>
      <c r="D2439" s="395" t="s">
        <v>5</v>
      </c>
      <c r="E2439" s="450">
        <v>1</v>
      </c>
      <c r="F2439" s="857">
        <v>1.38</v>
      </c>
      <c r="G2439" s="445">
        <f t="shared" si="92"/>
        <v>1.38</v>
      </c>
      <c r="H2439" s="131"/>
    </row>
    <row r="2440" spans="1:8" ht="24.9" customHeight="1">
      <c r="A2440" s="492">
        <v>68</v>
      </c>
      <c r="B2440" s="446" t="s">
        <v>1688</v>
      </c>
      <c r="C2440" s="395" t="s">
        <v>87</v>
      </c>
      <c r="D2440" s="395" t="s">
        <v>5</v>
      </c>
      <c r="E2440" s="450">
        <v>1</v>
      </c>
      <c r="F2440" s="857">
        <v>14.56</v>
      </c>
      <c r="G2440" s="445">
        <f t="shared" si="92"/>
        <v>14.56</v>
      </c>
      <c r="H2440" s="131"/>
    </row>
    <row r="2441" spans="1:8" ht="24.9" customHeight="1">
      <c r="A2441" s="492">
        <v>7130</v>
      </c>
      <c r="B2441" s="446" t="s">
        <v>1689</v>
      </c>
      <c r="C2441" s="395" t="s">
        <v>87</v>
      </c>
      <c r="D2441" s="395" t="s">
        <v>5</v>
      </c>
      <c r="E2441" s="450">
        <v>1</v>
      </c>
      <c r="F2441" s="857">
        <v>11.07</v>
      </c>
      <c r="G2441" s="445">
        <f t="shared" si="92"/>
        <v>11.07</v>
      </c>
      <c r="H2441" s="131"/>
    </row>
    <row r="2442" spans="1:8" ht="18" customHeight="1">
      <c r="A2442" s="1145">
        <v>88267</v>
      </c>
      <c r="B2442" s="1147" t="s">
        <v>1502</v>
      </c>
      <c r="C2442" s="395" t="s">
        <v>104</v>
      </c>
      <c r="D2442" s="1143" t="s">
        <v>105</v>
      </c>
      <c r="E2442" s="1139" t="s">
        <v>170</v>
      </c>
      <c r="F2442" s="810">
        <f>'COMP AUX'!G338</f>
        <v>15.5</v>
      </c>
      <c r="G2442" s="396">
        <f t="shared" si="92"/>
        <v>76.63</v>
      </c>
      <c r="H2442" s="131"/>
    </row>
    <row r="2443" spans="1:8" ht="18" customHeight="1">
      <c r="A2443" s="1146"/>
      <c r="B2443" s="1148"/>
      <c r="C2443" s="395" t="s">
        <v>87</v>
      </c>
      <c r="D2443" s="1144"/>
      <c r="E2443" s="1140"/>
      <c r="F2443" s="810">
        <f>'COMP AUX'!G339</f>
        <v>4.4000000000000004</v>
      </c>
      <c r="G2443" s="396">
        <f>TRUNC(E2442*F2443,2)</f>
        <v>21.75</v>
      </c>
      <c r="H2443" s="131"/>
    </row>
    <row r="2444" spans="1:8" ht="18" customHeight="1">
      <c r="A2444" s="1145">
        <v>88316</v>
      </c>
      <c r="B2444" s="1147" t="s">
        <v>110</v>
      </c>
      <c r="C2444" s="395" t="s">
        <v>104</v>
      </c>
      <c r="D2444" s="1143" t="s">
        <v>105</v>
      </c>
      <c r="E2444" s="1139">
        <v>8.24</v>
      </c>
      <c r="F2444" s="810">
        <f>'COMP AUX'!G104</f>
        <v>11.18</v>
      </c>
      <c r="G2444" s="396">
        <f t="shared" si="92"/>
        <v>92.12</v>
      </c>
      <c r="H2444" s="131"/>
    </row>
    <row r="2445" spans="1:8" ht="18" customHeight="1">
      <c r="A2445" s="1146"/>
      <c r="B2445" s="1148"/>
      <c r="C2445" s="395" t="s">
        <v>87</v>
      </c>
      <c r="D2445" s="1144"/>
      <c r="E2445" s="1140"/>
      <c r="F2445" s="810">
        <f>'COMP AUX'!G105</f>
        <v>4.7300000000000004</v>
      </c>
      <c r="G2445" s="396">
        <f>TRUNC(E2444*F2445,2)</f>
        <v>38.97</v>
      </c>
      <c r="H2445" s="131"/>
    </row>
    <row r="2446" spans="1:8" ht="18" customHeight="1">
      <c r="A2446" s="131"/>
      <c r="B2446" s="131"/>
      <c r="C2446" s="131"/>
      <c r="D2446" s="131"/>
      <c r="E2446" s="131"/>
      <c r="F2446" s="412" t="s">
        <v>90</v>
      </c>
      <c r="G2446" s="396">
        <f>G2442+G2444</f>
        <v>168.75</v>
      </c>
      <c r="H2446" s="131"/>
    </row>
    <row r="2447" spans="1:8" ht="18" customHeight="1">
      <c r="A2447" s="131"/>
      <c r="B2447" s="131"/>
      <c r="C2447" s="131"/>
      <c r="D2447" s="131"/>
      <c r="E2447" s="131"/>
      <c r="F2447" s="412" t="s">
        <v>92</v>
      </c>
      <c r="G2447" s="396">
        <f>SUM(G2427:G2441)+G2443+G2445</f>
        <v>351.1</v>
      </c>
      <c r="H2447" s="131"/>
    </row>
    <row r="2448" spans="1:8" ht="18" customHeight="1">
      <c r="A2448" s="413" t="s">
        <v>94</v>
      </c>
      <c r="B2448" s="131"/>
      <c r="C2448" s="131"/>
      <c r="D2448" s="131"/>
      <c r="E2448" s="131"/>
      <c r="F2448" s="412" t="s">
        <v>93</v>
      </c>
      <c r="G2448" s="881">
        <f>SUM(G2446:G2447)</f>
        <v>519.85</v>
      </c>
      <c r="H2448" s="131"/>
    </row>
    <row r="2449" spans="1:8" ht="18" customHeight="1">
      <c r="A2449" s="361" t="s">
        <v>95</v>
      </c>
      <c r="B2449" s="385">
        <f>G2448</f>
        <v>519.85</v>
      </c>
      <c r="C2449" s="131"/>
      <c r="D2449" s="131"/>
      <c r="E2449" s="131"/>
      <c r="F2449" s="132"/>
      <c r="G2449" s="132"/>
      <c r="H2449" s="131"/>
    </row>
    <row r="2450" spans="1:8" ht="18" customHeight="1">
      <c r="A2450" s="382" t="s">
        <v>2272</v>
      </c>
      <c r="B2450" s="381"/>
      <c r="C2450" s="131"/>
      <c r="D2450" s="131"/>
      <c r="E2450" s="131"/>
      <c r="F2450" s="132"/>
      <c r="G2450" s="132"/>
      <c r="H2450" s="131"/>
    </row>
    <row r="2451" spans="1:8" ht="18" customHeight="1">
      <c r="A2451" s="443" t="s">
        <v>2311</v>
      </c>
      <c r="B2451" s="381">
        <f>(B2449+B2450)*0.245</f>
        <v>127.36325000000001</v>
      </c>
      <c r="C2451" s="131"/>
      <c r="D2451" s="131"/>
      <c r="E2451" s="131"/>
      <c r="F2451" s="132"/>
      <c r="G2451" s="132"/>
      <c r="H2451" s="131"/>
    </row>
    <row r="2452" spans="1:8" ht="18" customHeight="1">
      <c r="A2452" s="361" t="s">
        <v>98</v>
      </c>
      <c r="B2452" s="386">
        <f>SUM(B2449:B2451)</f>
        <v>647.21325000000002</v>
      </c>
      <c r="C2452" s="131"/>
      <c r="D2452" s="131"/>
      <c r="E2452" s="131"/>
      <c r="F2452" s="132"/>
      <c r="G2452" s="132"/>
      <c r="H2452" s="131"/>
    </row>
    <row r="2453" spans="1:8">
      <c r="A2453" s="362"/>
      <c r="B2453" s="363"/>
      <c r="C2453" s="364"/>
      <c r="D2453" s="362"/>
      <c r="E2453" s="363"/>
      <c r="F2453" s="363"/>
      <c r="G2453" s="363"/>
      <c r="H2453" s="362"/>
    </row>
    <row r="2455" spans="1:8">
      <c r="A2455" s="122" t="s">
        <v>1287</v>
      </c>
    </row>
    <row r="2456" spans="1:8">
      <c r="A2456" s="1237" t="s">
        <v>1507</v>
      </c>
      <c r="B2456" s="1238"/>
      <c r="C2456" s="1238"/>
      <c r="D2456" s="1238"/>
      <c r="E2456" s="1238"/>
      <c r="F2456" s="1238"/>
      <c r="G2456" s="1238"/>
      <c r="H2456" s="1238"/>
    </row>
    <row r="2457" spans="1:8" ht="18.75" customHeight="1">
      <c r="A2457" s="409" t="s">
        <v>176</v>
      </c>
      <c r="B2457" s="131"/>
      <c r="C2457" s="131"/>
      <c r="D2457" s="422" t="s">
        <v>1452</v>
      </c>
      <c r="E2457" s="131"/>
      <c r="F2457" s="131"/>
      <c r="G2457" s="131"/>
      <c r="H2457" s="131"/>
    </row>
    <row r="2458" spans="1:8" ht="20.399999999999999">
      <c r="A2458" s="309" t="s">
        <v>30</v>
      </c>
      <c r="B2458" s="354" t="s">
        <v>19</v>
      </c>
      <c r="C2458" s="293" t="s">
        <v>81</v>
      </c>
      <c r="D2458" s="294" t="s">
        <v>77</v>
      </c>
      <c r="E2458" s="294" t="s">
        <v>82</v>
      </c>
      <c r="F2458" s="295" t="s">
        <v>83</v>
      </c>
      <c r="G2458" s="355" t="s">
        <v>84</v>
      </c>
      <c r="H2458" s="131"/>
    </row>
    <row r="2459" spans="1:8" ht="15" customHeight="1">
      <c r="A2459" s="1181">
        <v>88267</v>
      </c>
      <c r="B2459" s="1147" t="s">
        <v>1502</v>
      </c>
      <c r="C2459" s="293" t="s">
        <v>104</v>
      </c>
      <c r="D2459" s="1217" t="s">
        <v>105</v>
      </c>
      <c r="E2459" s="1204">
        <v>7.7</v>
      </c>
      <c r="F2459" s="349">
        <f>'COMP AUX'!G355</f>
        <v>14.96</v>
      </c>
      <c r="G2459" s="358">
        <f>TRUNC(E2459*F2459,2)</f>
        <v>115.19</v>
      </c>
      <c r="H2459" s="131"/>
    </row>
    <row r="2460" spans="1:8" ht="15" customHeight="1">
      <c r="A2460" s="1182"/>
      <c r="B2460" s="1148"/>
      <c r="C2460" s="395" t="s">
        <v>87</v>
      </c>
      <c r="D2460" s="1209"/>
      <c r="E2460" s="1205"/>
      <c r="F2460" s="406">
        <f>'COMP AUX'!G356</f>
        <v>4.79</v>
      </c>
      <c r="G2460" s="445">
        <f>TRUNC(E2459*F2460,2)</f>
        <v>36.880000000000003</v>
      </c>
      <c r="H2460" s="131"/>
    </row>
    <row r="2461" spans="1:8" ht="15" customHeight="1">
      <c r="A2461" s="1181">
        <v>88248</v>
      </c>
      <c r="B2461" s="1147" t="s">
        <v>307</v>
      </c>
      <c r="C2461" s="395" t="s">
        <v>104</v>
      </c>
      <c r="D2461" s="1217" t="s">
        <v>105</v>
      </c>
      <c r="E2461" s="1204">
        <v>7.7</v>
      </c>
      <c r="F2461" s="406">
        <f>'COMP AUX'!G338</f>
        <v>15.5</v>
      </c>
      <c r="G2461" s="445">
        <f>TRUNC(E2461*F2461,2)</f>
        <v>119.35</v>
      </c>
      <c r="H2461" s="131"/>
    </row>
    <row r="2462" spans="1:8" ht="15" customHeight="1">
      <c r="A2462" s="1160"/>
      <c r="B2462" s="1178"/>
      <c r="C2462" s="395" t="s">
        <v>87</v>
      </c>
      <c r="D2462" s="1209"/>
      <c r="E2462" s="1205"/>
      <c r="F2462" s="406">
        <f>'COMP AUX'!G339</f>
        <v>4.4000000000000004</v>
      </c>
      <c r="G2462" s="445">
        <f>TRUNC(E2461*F2462,2)</f>
        <v>33.880000000000003</v>
      </c>
      <c r="H2462" s="131"/>
    </row>
    <row r="2463" spans="1:8" ht="15" customHeight="1">
      <c r="A2463" s="449" t="s">
        <v>177</v>
      </c>
      <c r="B2463" s="451" t="s">
        <v>178</v>
      </c>
      <c r="C2463" s="395" t="s">
        <v>87</v>
      </c>
      <c r="D2463" s="395" t="s">
        <v>102</v>
      </c>
      <c r="E2463" s="450">
        <v>0.05</v>
      </c>
      <c r="F2463" s="519" t="s">
        <v>180</v>
      </c>
      <c r="G2463" s="445">
        <f t="shared" ref="G2463:G2482" si="93">TRUNC(E2463*F2463,2)</f>
        <v>2.78</v>
      </c>
      <c r="H2463" s="131"/>
    </row>
    <row r="2464" spans="1:8" ht="15" customHeight="1">
      <c r="A2464" s="449" t="s">
        <v>182</v>
      </c>
      <c r="B2464" s="451" t="s">
        <v>183</v>
      </c>
      <c r="C2464" s="395" t="s">
        <v>87</v>
      </c>
      <c r="D2464" s="395" t="s">
        <v>102</v>
      </c>
      <c r="E2464" s="450" t="s">
        <v>184</v>
      </c>
      <c r="F2464" s="519" t="s">
        <v>185</v>
      </c>
      <c r="G2464" s="445">
        <f t="shared" si="93"/>
        <v>4.03</v>
      </c>
      <c r="H2464" s="131"/>
    </row>
    <row r="2465" spans="1:8" ht="15" customHeight="1">
      <c r="A2465" s="449" t="s">
        <v>186</v>
      </c>
      <c r="B2465" s="451" t="s">
        <v>187</v>
      </c>
      <c r="C2465" s="395" t="s">
        <v>87</v>
      </c>
      <c r="D2465" s="395" t="s">
        <v>188</v>
      </c>
      <c r="E2465" s="450" t="s">
        <v>179</v>
      </c>
      <c r="F2465" s="519" t="s">
        <v>189</v>
      </c>
      <c r="G2465" s="445">
        <f t="shared" si="93"/>
        <v>1.72</v>
      </c>
      <c r="H2465" s="131"/>
    </row>
    <row r="2466" spans="1:8">
      <c r="A2466" s="449" t="s">
        <v>190</v>
      </c>
      <c r="B2466" s="451" t="s">
        <v>191</v>
      </c>
      <c r="C2466" s="395" t="s">
        <v>87</v>
      </c>
      <c r="D2466" s="395" t="s">
        <v>5</v>
      </c>
      <c r="E2466" s="450">
        <v>1</v>
      </c>
      <c r="F2466" s="519" t="s">
        <v>192</v>
      </c>
      <c r="G2466" s="396">
        <f t="shared" si="93"/>
        <v>327</v>
      </c>
      <c r="H2466" s="131"/>
    </row>
    <row r="2467" spans="1:8" ht="15" customHeight="1">
      <c r="A2467" s="449" t="s">
        <v>193</v>
      </c>
      <c r="B2467" s="451" t="s">
        <v>194</v>
      </c>
      <c r="C2467" s="395" t="s">
        <v>87</v>
      </c>
      <c r="D2467" s="395" t="s">
        <v>5</v>
      </c>
      <c r="E2467" s="450">
        <v>1</v>
      </c>
      <c r="F2467" s="519" t="s">
        <v>195</v>
      </c>
      <c r="G2467" s="445">
        <f t="shared" si="93"/>
        <v>18.079999999999998</v>
      </c>
      <c r="H2467" s="131"/>
    </row>
    <row r="2468" spans="1:8" ht="15" customHeight="1">
      <c r="A2468" s="449" t="s">
        <v>196</v>
      </c>
      <c r="B2468" s="451" t="s">
        <v>197</v>
      </c>
      <c r="C2468" s="395" t="s">
        <v>87</v>
      </c>
      <c r="D2468" s="395" t="s">
        <v>5</v>
      </c>
      <c r="E2468" s="450">
        <v>1</v>
      </c>
      <c r="F2468" s="519" t="s">
        <v>198</v>
      </c>
      <c r="G2468" s="445">
        <f t="shared" si="93"/>
        <v>25.12</v>
      </c>
      <c r="H2468" s="131"/>
    </row>
    <row r="2469" spans="1:8" ht="15" customHeight="1">
      <c r="A2469" s="449" t="s">
        <v>199</v>
      </c>
      <c r="B2469" s="451" t="s">
        <v>200</v>
      </c>
      <c r="C2469" s="395" t="s">
        <v>87</v>
      </c>
      <c r="D2469" s="395" t="s">
        <v>5</v>
      </c>
      <c r="E2469" s="450">
        <v>1</v>
      </c>
      <c r="F2469" s="519" t="s">
        <v>201</v>
      </c>
      <c r="G2469" s="445">
        <f t="shared" si="93"/>
        <v>40.89</v>
      </c>
      <c r="H2469" s="131"/>
    </row>
    <row r="2470" spans="1:8" ht="20.399999999999999">
      <c r="A2470" s="449" t="s">
        <v>202</v>
      </c>
      <c r="B2470" s="451" t="s">
        <v>203</v>
      </c>
      <c r="C2470" s="395" t="s">
        <v>87</v>
      </c>
      <c r="D2470" s="395" t="s">
        <v>5</v>
      </c>
      <c r="E2470" s="450">
        <v>0.28999999999999998</v>
      </c>
      <c r="F2470" s="519" t="s">
        <v>204</v>
      </c>
      <c r="G2470" s="396">
        <f t="shared" si="93"/>
        <v>0.1</v>
      </c>
      <c r="H2470" s="131"/>
    </row>
    <row r="2471" spans="1:8" ht="20.399999999999999">
      <c r="A2471" s="449" t="s">
        <v>205</v>
      </c>
      <c r="B2471" s="451" t="s">
        <v>206</v>
      </c>
      <c r="C2471" s="395" t="s">
        <v>87</v>
      </c>
      <c r="D2471" s="395" t="s">
        <v>5</v>
      </c>
      <c r="E2471" s="450">
        <v>1</v>
      </c>
      <c r="F2471" s="519" t="s">
        <v>207</v>
      </c>
      <c r="G2471" s="445">
        <f t="shared" si="93"/>
        <v>11.76</v>
      </c>
      <c r="H2471" s="131"/>
    </row>
    <row r="2472" spans="1:8" ht="20.399999999999999">
      <c r="A2472" s="449" t="s">
        <v>208</v>
      </c>
      <c r="B2472" s="451" t="s">
        <v>209</v>
      </c>
      <c r="C2472" s="395" t="s">
        <v>87</v>
      </c>
      <c r="D2472" s="395" t="s">
        <v>5</v>
      </c>
      <c r="E2472" s="450">
        <v>2</v>
      </c>
      <c r="F2472" s="519" t="s">
        <v>210</v>
      </c>
      <c r="G2472" s="396">
        <f t="shared" si="93"/>
        <v>42</v>
      </c>
      <c r="H2472" s="131"/>
    </row>
    <row r="2473" spans="1:8" ht="20.399999999999999">
      <c r="A2473" s="449" t="s">
        <v>211</v>
      </c>
      <c r="B2473" s="451" t="s">
        <v>212</v>
      </c>
      <c r="C2473" s="395" t="s">
        <v>87</v>
      </c>
      <c r="D2473" s="395" t="s">
        <v>5</v>
      </c>
      <c r="E2473" s="450">
        <v>1</v>
      </c>
      <c r="F2473" s="519" t="s">
        <v>213</v>
      </c>
      <c r="G2473" s="445">
        <f t="shared" si="93"/>
        <v>28.45</v>
      </c>
      <c r="H2473" s="131"/>
    </row>
    <row r="2474" spans="1:8" ht="15" customHeight="1">
      <c r="A2474" s="449" t="s">
        <v>214</v>
      </c>
      <c r="B2474" s="451" t="s">
        <v>215</v>
      </c>
      <c r="C2474" s="395" t="s">
        <v>87</v>
      </c>
      <c r="D2474" s="395" t="s">
        <v>5</v>
      </c>
      <c r="E2474" s="450">
        <v>2</v>
      </c>
      <c r="F2474" s="519" t="s">
        <v>216</v>
      </c>
      <c r="G2474" s="445">
        <f t="shared" si="93"/>
        <v>1.08</v>
      </c>
      <c r="H2474" s="131"/>
    </row>
    <row r="2475" spans="1:8" ht="15" customHeight="1">
      <c r="A2475" s="449" t="s">
        <v>217</v>
      </c>
      <c r="B2475" s="451" t="s">
        <v>218</v>
      </c>
      <c r="C2475" s="395" t="s">
        <v>87</v>
      </c>
      <c r="D2475" s="395" t="s">
        <v>5</v>
      </c>
      <c r="E2475" s="450">
        <v>1</v>
      </c>
      <c r="F2475" s="519" t="s">
        <v>169</v>
      </c>
      <c r="G2475" s="445">
        <f t="shared" si="93"/>
        <v>1.17</v>
      </c>
      <c r="H2475" s="131"/>
    </row>
    <row r="2476" spans="1:8" ht="15" customHeight="1">
      <c r="A2476" s="449" t="s">
        <v>219</v>
      </c>
      <c r="B2476" s="451" t="s">
        <v>220</v>
      </c>
      <c r="C2476" s="395" t="s">
        <v>87</v>
      </c>
      <c r="D2476" s="395" t="s">
        <v>5</v>
      </c>
      <c r="E2476" s="450">
        <v>2</v>
      </c>
      <c r="F2476" s="519" t="s">
        <v>221</v>
      </c>
      <c r="G2476" s="445">
        <f t="shared" si="93"/>
        <v>6.62</v>
      </c>
      <c r="H2476" s="131"/>
    </row>
    <row r="2477" spans="1:8" ht="15" customHeight="1">
      <c r="A2477" s="449" t="s">
        <v>222</v>
      </c>
      <c r="B2477" s="451" t="s">
        <v>223</v>
      </c>
      <c r="C2477" s="395" t="s">
        <v>87</v>
      </c>
      <c r="D2477" s="395" t="s">
        <v>5</v>
      </c>
      <c r="E2477" s="450">
        <v>1</v>
      </c>
      <c r="F2477" s="519" t="s">
        <v>224</v>
      </c>
      <c r="G2477" s="445">
        <f t="shared" si="93"/>
        <v>48.48</v>
      </c>
      <c r="H2477" s="131"/>
    </row>
    <row r="2478" spans="1:8" ht="15" customHeight="1">
      <c r="A2478" s="449" t="s">
        <v>225</v>
      </c>
      <c r="B2478" s="451" t="s">
        <v>226</v>
      </c>
      <c r="C2478" s="395" t="s">
        <v>87</v>
      </c>
      <c r="D2478" s="395" t="s">
        <v>4</v>
      </c>
      <c r="E2478" s="450">
        <v>1.5</v>
      </c>
      <c r="F2478" s="519" t="s">
        <v>228</v>
      </c>
      <c r="G2478" s="445">
        <f t="shared" si="93"/>
        <v>4.8899999999999997</v>
      </c>
      <c r="H2478" s="131"/>
    </row>
    <row r="2479" spans="1:8" ht="15" customHeight="1">
      <c r="A2479" s="449" t="s">
        <v>230</v>
      </c>
      <c r="B2479" s="451" t="s">
        <v>231</v>
      </c>
      <c r="C2479" s="395" t="s">
        <v>87</v>
      </c>
      <c r="D2479" s="395" t="s">
        <v>4</v>
      </c>
      <c r="E2479" s="450">
        <v>1.5</v>
      </c>
      <c r="F2479" s="519" t="s">
        <v>232</v>
      </c>
      <c r="G2479" s="445">
        <f t="shared" si="93"/>
        <v>12.73</v>
      </c>
      <c r="H2479" s="131"/>
    </row>
    <row r="2480" spans="1:8" ht="15" customHeight="1">
      <c r="A2480" s="449" t="s">
        <v>233</v>
      </c>
      <c r="B2480" s="451" t="s">
        <v>234</v>
      </c>
      <c r="C2480" s="395" t="s">
        <v>87</v>
      </c>
      <c r="D2480" s="395" t="s">
        <v>4</v>
      </c>
      <c r="E2480" s="450">
        <v>1</v>
      </c>
      <c r="F2480" s="519" t="s">
        <v>235</v>
      </c>
      <c r="G2480" s="396">
        <f t="shared" si="93"/>
        <v>14</v>
      </c>
      <c r="H2480" s="131"/>
    </row>
    <row r="2481" spans="1:8" ht="15" customHeight="1">
      <c r="A2481" s="449" t="s">
        <v>236</v>
      </c>
      <c r="B2481" s="451" t="s">
        <v>237</v>
      </c>
      <c r="C2481" s="395" t="s">
        <v>87</v>
      </c>
      <c r="D2481" s="395" t="s">
        <v>5</v>
      </c>
      <c r="E2481" s="450">
        <v>1</v>
      </c>
      <c r="F2481" s="519" t="s">
        <v>238</v>
      </c>
      <c r="G2481" s="445">
        <f t="shared" si="93"/>
        <v>3.25</v>
      </c>
      <c r="H2481" s="131"/>
    </row>
    <row r="2482" spans="1:8" ht="15" customHeight="1">
      <c r="A2482" s="449" t="s">
        <v>239</v>
      </c>
      <c r="B2482" s="451" t="s">
        <v>240</v>
      </c>
      <c r="C2482" s="395" t="s">
        <v>87</v>
      </c>
      <c r="D2482" s="395" t="s">
        <v>5</v>
      </c>
      <c r="E2482" s="450">
        <v>1</v>
      </c>
      <c r="F2482" s="519" t="s">
        <v>241</v>
      </c>
      <c r="G2482" s="445">
        <f t="shared" si="93"/>
        <v>8.2899999999999991</v>
      </c>
      <c r="H2482" s="131"/>
    </row>
    <row r="2483" spans="1:8" ht="15" customHeight="1">
      <c r="A2483" s="131"/>
      <c r="B2483" s="131"/>
      <c r="C2483" s="131"/>
      <c r="D2483" s="131"/>
      <c r="E2483" s="131"/>
      <c r="F2483" s="412" t="s">
        <v>90</v>
      </c>
      <c r="G2483" s="396">
        <f>G2459+G2461</f>
        <v>234.54</v>
      </c>
      <c r="H2483" s="131"/>
    </row>
    <row r="2484" spans="1:8" ht="15" customHeight="1">
      <c r="A2484" s="131"/>
      <c r="B2484" s="131"/>
      <c r="C2484" s="131"/>
      <c r="D2484" s="131"/>
      <c r="E2484" s="131"/>
      <c r="F2484" s="412" t="s">
        <v>92</v>
      </c>
      <c r="G2484" s="396">
        <f>G2460+G2462+G2463+G2464+G2465+G2466+G2467+G2468+G2469+G2470+G2471+G2472+G2473+G2474+G2475+G2476+G2477+G2478+G2479+G2480+G2481+G2482</f>
        <v>673.2</v>
      </c>
      <c r="H2484" s="131"/>
    </row>
    <row r="2485" spans="1:8" ht="15" customHeight="1">
      <c r="A2485" s="413" t="s">
        <v>94</v>
      </c>
      <c r="B2485" s="131"/>
      <c r="C2485" s="131"/>
      <c r="D2485" s="131"/>
      <c r="E2485" s="131"/>
      <c r="F2485" s="412" t="s">
        <v>93</v>
      </c>
      <c r="G2485" s="514">
        <f>SUM(G2483:G2484)</f>
        <v>907.74</v>
      </c>
      <c r="H2485" s="131"/>
    </row>
    <row r="2486" spans="1:8" ht="15" customHeight="1">
      <c r="A2486" s="361" t="s">
        <v>95</v>
      </c>
      <c r="B2486" s="385">
        <f>G2485</f>
        <v>907.74</v>
      </c>
      <c r="C2486" s="131"/>
      <c r="D2486" s="131"/>
      <c r="E2486" s="131"/>
      <c r="F2486" s="132"/>
      <c r="G2486" s="132"/>
      <c r="H2486" s="131"/>
    </row>
    <row r="2487" spans="1:8" ht="15" customHeight="1">
      <c r="A2487" s="382" t="s">
        <v>2272</v>
      </c>
      <c r="B2487" s="381"/>
      <c r="C2487" s="131"/>
      <c r="D2487" s="131"/>
      <c r="E2487" s="131"/>
      <c r="F2487" s="132"/>
      <c r="G2487" s="132"/>
      <c r="H2487" s="131"/>
    </row>
    <row r="2488" spans="1:8" ht="15" customHeight="1">
      <c r="A2488" s="443" t="s">
        <v>2311</v>
      </c>
      <c r="B2488" s="381">
        <f>(B2486+B2487)*0.245</f>
        <v>222.3963</v>
      </c>
      <c r="C2488" s="131"/>
      <c r="D2488" s="131"/>
      <c r="E2488" s="131"/>
      <c r="F2488" s="132"/>
      <c r="G2488" s="132"/>
      <c r="H2488" s="131"/>
    </row>
    <row r="2489" spans="1:8" ht="15" customHeight="1">
      <c r="A2489" s="361" t="s">
        <v>98</v>
      </c>
      <c r="B2489" s="467">
        <f>SUM(B2486:B2488)</f>
        <v>1130.1363000000001</v>
      </c>
      <c r="C2489" s="131"/>
      <c r="D2489" s="131"/>
      <c r="E2489" s="131"/>
      <c r="F2489" s="132"/>
      <c r="G2489" s="132"/>
      <c r="H2489" s="131"/>
    </row>
    <row r="2490" spans="1:8">
      <c r="A2490" s="362"/>
      <c r="B2490" s="363"/>
      <c r="C2490" s="364"/>
      <c r="D2490" s="362"/>
      <c r="E2490" s="363"/>
      <c r="F2490" s="363"/>
      <c r="G2490" s="363"/>
      <c r="H2490" s="362"/>
    </row>
    <row r="2492" spans="1:8">
      <c r="A2492" s="122" t="s">
        <v>1287</v>
      </c>
    </row>
    <row r="2493" spans="1:8">
      <c r="A2493" s="390" t="s">
        <v>2284</v>
      </c>
      <c r="B2493" s="131"/>
      <c r="C2493" s="131"/>
      <c r="D2493" s="131"/>
      <c r="E2493" s="131"/>
      <c r="F2493" s="131"/>
      <c r="G2493" s="131"/>
      <c r="H2493" s="131"/>
    </row>
    <row r="2494" spans="1:8" ht="27" customHeight="1">
      <c r="A2494" s="452" t="s">
        <v>1548</v>
      </c>
      <c r="B2494" s="1136" t="s">
        <v>2285</v>
      </c>
      <c r="C2494" s="1136"/>
      <c r="D2494" s="1136"/>
      <c r="E2494" s="422" t="s">
        <v>1452</v>
      </c>
      <c r="F2494" s="131"/>
      <c r="G2494" s="131"/>
      <c r="H2494" s="131"/>
    </row>
    <row r="2495" spans="1:8" ht="20.399999999999999">
      <c r="A2495" s="309" t="s">
        <v>30</v>
      </c>
      <c r="B2495" s="354" t="s">
        <v>19</v>
      </c>
      <c r="C2495" s="293" t="s">
        <v>81</v>
      </c>
      <c r="D2495" s="294" t="s">
        <v>77</v>
      </c>
      <c r="E2495" s="294" t="s">
        <v>82</v>
      </c>
      <c r="F2495" s="295" t="s">
        <v>83</v>
      </c>
      <c r="G2495" s="355" t="s">
        <v>84</v>
      </c>
      <c r="H2495" s="131"/>
    </row>
    <row r="2496" spans="1:8" ht="14.1" customHeight="1">
      <c r="A2496" s="1141">
        <v>88267</v>
      </c>
      <c r="B2496" s="1129" t="s">
        <v>271</v>
      </c>
      <c r="C2496" s="293" t="s">
        <v>104</v>
      </c>
      <c r="D2496" s="1143" t="s">
        <v>383</v>
      </c>
      <c r="E2496" s="1139">
        <f>34.72*2</f>
        <v>69.44</v>
      </c>
      <c r="F2496" s="349">
        <f>'COMP AUX'!G338</f>
        <v>15.5</v>
      </c>
      <c r="G2496" s="642">
        <f>TRUNC(E2496*F2496,2)</f>
        <v>1076.32</v>
      </c>
      <c r="H2496" s="131"/>
    </row>
    <row r="2497" spans="1:8" ht="14.1" customHeight="1">
      <c r="A2497" s="1142"/>
      <c r="B2497" s="1130"/>
      <c r="C2497" s="395" t="s">
        <v>87</v>
      </c>
      <c r="D2497" s="1144"/>
      <c r="E2497" s="1140"/>
      <c r="F2497" s="406">
        <f>'COMP AUX'!G339</f>
        <v>4.4000000000000004</v>
      </c>
      <c r="G2497" s="396">
        <f>TRUNC(E2496*F2497,2)</f>
        <v>305.52999999999997</v>
      </c>
      <c r="H2497" s="131"/>
    </row>
    <row r="2498" spans="1:8" ht="14.1" customHeight="1">
      <c r="A2498" s="1145">
        <v>88278</v>
      </c>
      <c r="B2498" s="1147" t="s">
        <v>858</v>
      </c>
      <c r="C2498" s="395" t="s">
        <v>104</v>
      </c>
      <c r="D2498" s="1143" t="s">
        <v>383</v>
      </c>
      <c r="E2498" s="1139">
        <f>13.88*2</f>
        <v>27.76</v>
      </c>
      <c r="F2498" s="406">
        <f>'COMP AUX'!G770</f>
        <v>10.49</v>
      </c>
      <c r="G2498" s="396">
        <f>TRUNC(E2498*F2498,2)</f>
        <v>291.2</v>
      </c>
      <c r="H2498" s="131"/>
    </row>
    <row r="2499" spans="1:8" ht="14.1" customHeight="1">
      <c r="A2499" s="1176"/>
      <c r="B2499" s="1148"/>
      <c r="C2499" s="395" t="s">
        <v>87</v>
      </c>
      <c r="D2499" s="1144"/>
      <c r="E2499" s="1140"/>
      <c r="F2499" s="406">
        <f>'COMP AUX'!G771</f>
        <v>4.75</v>
      </c>
      <c r="G2499" s="396">
        <f>TRUNC(E2498*F2499,2)</f>
        <v>131.86000000000001</v>
      </c>
      <c r="H2499" s="131"/>
    </row>
    <row r="2500" spans="1:8" ht="14.1" customHeight="1">
      <c r="A2500" s="1145">
        <v>88316</v>
      </c>
      <c r="B2500" s="1147" t="s">
        <v>110</v>
      </c>
      <c r="C2500" s="395" t="s">
        <v>104</v>
      </c>
      <c r="D2500" s="1143" t="s">
        <v>383</v>
      </c>
      <c r="E2500" s="1139">
        <f>30.84*2</f>
        <v>61.68</v>
      </c>
      <c r="F2500" s="406">
        <f>'COMP AUX'!G104</f>
        <v>11.18</v>
      </c>
      <c r="G2500" s="396">
        <f t="shared" ref="G2500" si="94">TRUNC(E2500*F2500,2)</f>
        <v>689.58</v>
      </c>
      <c r="H2500" s="131"/>
    </row>
    <row r="2501" spans="1:8" ht="14.1" customHeight="1">
      <c r="A2501" s="1146"/>
      <c r="B2501" s="1148"/>
      <c r="C2501" s="395" t="s">
        <v>87</v>
      </c>
      <c r="D2501" s="1144"/>
      <c r="E2501" s="1140"/>
      <c r="F2501" s="406">
        <f>'COMP AUX'!G105</f>
        <v>4.7300000000000004</v>
      </c>
      <c r="G2501" s="396">
        <f>TRUNC(E2500*F2501,2)</f>
        <v>291.74</v>
      </c>
      <c r="H2501" s="131"/>
    </row>
    <row r="2502" spans="1:8" ht="28.5" customHeight="1">
      <c r="A2502" s="492">
        <v>34469</v>
      </c>
      <c r="B2502" s="603" t="s">
        <v>2283</v>
      </c>
      <c r="C2502" s="395" t="s">
        <v>87</v>
      </c>
      <c r="D2502" s="395" t="s">
        <v>1452</v>
      </c>
      <c r="E2502" s="450">
        <v>2</v>
      </c>
      <c r="F2502" s="620">
        <v>7638.09</v>
      </c>
      <c r="G2502" s="435">
        <f>TRUNC(E2502*F2502,2)</f>
        <v>15276.18</v>
      </c>
      <c r="H2502" s="131"/>
    </row>
    <row r="2503" spans="1:8" ht="14.1" customHeight="1">
      <c r="A2503" s="131"/>
      <c r="B2503" s="131"/>
      <c r="C2503" s="131"/>
      <c r="D2503" s="131"/>
      <c r="E2503" s="131"/>
      <c r="F2503" s="436" t="s">
        <v>90</v>
      </c>
      <c r="G2503" s="434">
        <f>G2496+G2498+G2500</f>
        <v>2057.1</v>
      </c>
      <c r="H2503" s="131"/>
    </row>
    <row r="2504" spans="1:8" ht="14.1" customHeight="1">
      <c r="A2504" s="131"/>
      <c r="B2504" s="131"/>
      <c r="C2504" s="131"/>
      <c r="D2504" s="131"/>
      <c r="E2504" s="131"/>
      <c r="F2504" s="412" t="s">
        <v>92</v>
      </c>
      <c r="G2504" s="435">
        <f>G2497+G2499+G2501+G2502</f>
        <v>16005.31</v>
      </c>
      <c r="H2504" s="131"/>
    </row>
    <row r="2505" spans="1:8" ht="14.1" customHeight="1">
      <c r="A2505" s="413" t="s">
        <v>94</v>
      </c>
      <c r="B2505" s="131"/>
      <c r="C2505" s="131"/>
      <c r="D2505" s="131"/>
      <c r="E2505" s="131"/>
      <c r="F2505" s="412" t="s">
        <v>93</v>
      </c>
      <c r="G2505" s="437">
        <f>SUM(G2503:G2504)</f>
        <v>18062.41</v>
      </c>
      <c r="H2505" s="131"/>
    </row>
    <row r="2506" spans="1:8" ht="14.1" customHeight="1">
      <c r="A2506" s="361" t="s">
        <v>95</v>
      </c>
      <c r="B2506" s="466">
        <f>G2505</f>
        <v>18062.41</v>
      </c>
      <c r="C2506" s="131"/>
      <c r="D2506" s="131"/>
      <c r="E2506" s="131"/>
      <c r="F2506" s="132"/>
      <c r="G2506" s="132"/>
      <c r="H2506" s="131"/>
    </row>
    <row r="2507" spans="1:8" ht="14.1" customHeight="1">
      <c r="A2507" s="382" t="s">
        <v>2272</v>
      </c>
      <c r="B2507" s="381"/>
      <c r="C2507" s="131"/>
      <c r="D2507" s="131"/>
      <c r="E2507" s="131"/>
      <c r="F2507" s="132"/>
      <c r="G2507" s="132"/>
      <c r="H2507" s="131"/>
    </row>
    <row r="2508" spans="1:8" ht="14.1" customHeight="1">
      <c r="A2508" s="443" t="s">
        <v>2311</v>
      </c>
      <c r="B2508" s="632">
        <f>(B2506+B2507)*0.245</f>
        <v>4425.2904499999995</v>
      </c>
      <c r="C2508" s="131"/>
      <c r="D2508" s="131"/>
      <c r="E2508" s="131"/>
      <c r="F2508" s="132"/>
      <c r="G2508" s="132"/>
      <c r="H2508" s="131"/>
    </row>
    <row r="2509" spans="1:8" ht="14.1" customHeight="1">
      <c r="A2509" s="361" t="s">
        <v>98</v>
      </c>
      <c r="B2509" s="467">
        <f>SUM(B2506:B2508)</f>
        <v>22487.70045</v>
      </c>
      <c r="C2509" s="131"/>
      <c r="D2509" s="131"/>
      <c r="E2509" s="131"/>
      <c r="F2509" s="132"/>
      <c r="G2509" s="132"/>
      <c r="H2509" s="408"/>
    </row>
    <row r="2510" spans="1:8">
      <c r="A2510" s="362"/>
      <c r="B2510" s="363"/>
      <c r="C2510" s="364"/>
      <c r="D2510" s="362"/>
      <c r="E2510" s="363"/>
      <c r="F2510" s="363"/>
      <c r="G2510" s="363"/>
      <c r="H2510" s="362"/>
    </row>
    <row r="2512" spans="1:8">
      <c r="A2512" s="122" t="s">
        <v>2710</v>
      </c>
    </row>
    <row r="2513" spans="1:8">
      <c r="A2513" s="390" t="s">
        <v>2292</v>
      </c>
      <c r="B2513" s="131"/>
      <c r="C2513" s="131"/>
      <c r="D2513" s="131"/>
      <c r="E2513" s="131"/>
      <c r="F2513" s="131"/>
      <c r="G2513" s="131"/>
      <c r="H2513" s="131"/>
    </row>
    <row r="2514" spans="1:8" ht="20.399999999999999">
      <c r="A2514" s="452" t="s">
        <v>1548</v>
      </c>
      <c r="B2514" s="452" t="s">
        <v>2291</v>
      </c>
      <c r="C2514" s="422" t="s">
        <v>1452</v>
      </c>
      <c r="D2514" s="452"/>
      <c r="F2514" s="131"/>
      <c r="G2514" s="131"/>
      <c r="H2514" s="131"/>
    </row>
    <row r="2515" spans="1:8" ht="20.399999999999999">
      <c r="A2515" s="309" t="s">
        <v>30</v>
      </c>
      <c r="B2515" s="354" t="s">
        <v>19</v>
      </c>
      <c r="C2515" s="293" t="s">
        <v>81</v>
      </c>
      <c r="D2515" s="294" t="s">
        <v>77</v>
      </c>
      <c r="E2515" s="294" t="s">
        <v>82</v>
      </c>
      <c r="F2515" s="295" t="s">
        <v>83</v>
      </c>
      <c r="G2515" s="355" t="s">
        <v>84</v>
      </c>
      <c r="H2515" s="131"/>
    </row>
    <row r="2516" spans="1:8" ht="15" customHeight="1">
      <c r="A2516" s="1141">
        <v>88267</v>
      </c>
      <c r="B2516" s="1129" t="s">
        <v>118</v>
      </c>
      <c r="C2516" s="293" t="s">
        <v>104</v>
      </c>
      <c r="D2516" s="1143" t="s">
        <v>383</v>
      </c>
      <c r="E2516" s="1139">
        <v>0.35</v>
      </c>
      <c r="F2516" s="349">
        <f>'COMP AUX'!G151</f>
        <v>15.020000000000001</v>
      </c>
      <c r="G2516" s="358">
        <f>TRUNC(E2516*F2516,2)</f>
        <v>5.25</v>
      </c>
      <c r="H2516" s="131"/>
    </row>
    <row r="2517" spans="1:8" ht="15" customHeight="1">
      <c r="A2517" s="1142"/>
      <c r="B2517" s="1130"/>
      <c r="C2517" s="395" t="s">
        <v>87</v>
      </c>
      <c r="D2517" s="1144"/>
      <c r="E2517" s="1140"/>
      <c r="F2517" s="406">
        <f>'COMP AUX'!G152</f>
        <v>4.79</v>
      </c>
      <c r="G2517" s="396">
        <f>TRUNC(E2516*F2517,2)</f>
        <v>1.67</v>
      </c>
      <c r="H2517" s="131"/>
    </row>
    <row r="2518" spans="1:8" ht="27" customHeight="1">
      <c r="A2518" s="492">
        <v>37401</v>
      </c>
      <c r="B2518" s="603" t="s">
        <v>2293</v>
      </c>
      <c r="C2518" s="395" t="s">
        <v>87</v>
      </c>
      <c r="D2518" s="395" t="s">
        <v>1452</v>
      </c>
      <c r="E2518" s="450">
        <v>1</v>
      </c>
      <c r="F2518" s="620">
        <v>48.15</v>
      </c>
      <c r="G2518" s="435">
        <f>TRUNC(E2518*F2518,2)</f>
        <v>48.15</v>
      </c>
      <c r="H2518" s="131"/>
    </row>
    <row r="2519" spans="1:8" ht="14.1" customHeight="1">
      <c r="A2519" s="131"/>
      <c r="B2519" s="131"/>
      <c r="C2519" s="131"/>
      <c r="D2519" s="131"/>
      <c r="E2519" s="131"/>
      <c r="F2519" s="436" t="s">
        <v>90</v>
      </c>
      <c r="G2519" s="619">
        <f>G2516</f>
        <v>5.25</v>
      </c>
      <c r="H2519" s="131"/>
    </row>
    <row r="2520" spans="1:8" ht="14.1" customHeight="1">
      <c r="A2520" s="131"/>
      <c r="B2520" s="131"/>
      <c r="C2520" s="131"/>
      <c r="D2520" s="131"/>
      <c r="E2520" s="131"/>
      <c r="F2520" s="412" t="s">
        <v>92</v>
      </c>
      <c r="G2520" s="435">
        <f>G2517+G2518</f>
        <v>49.82</v>
      </c>
      <c r="H2520" s="131"/>
    </row>
    <row r="2521" spans="1:8" ht="14.1" customHeight="1">
      <c r="A2521" s="413" t="s">
        <v>94</v>
      </c>
      <c r="B2521" s="131"/>
      <c r="C2521" s="131"/>
      <c r="D2521" s="131"/>
      <c r="E2521" s="131"/>
      <c r="F2521" s="412" t="s">
        <v>93</v>
      </c>
      <c r="G2521" s="883">
        <f>SUM(G2519:G2520)</f>
        <v>55.07</v>
      </c>
      <c r="H2521" s="131"/>
    </row>
    <row r="2522" spans="1:8" ht="14.1" customHeight="1">
      <c r="A2522" s="361" t="s">
        <v>95</v>
      </c>
      <c r="B2522" s="466">
        <f>G2521</f>
        <v>55.07</v>
      </c>
      <c r="C2522" s="131"/>
      <c r="D2522" s="131"/>
      <c r="E2522" s="131"/>
      <c r="F2522" s="132"/>
      <c r="G2522" s="132"/>
      <c r="H2522" s="131"/>
    </row>
    <row r="2523" spans="1:8" ht="14.1" customHeight="1">
      <c r="A2523" s="382" t="s">
        <v>2272</v>
      </c>
      <c r="B2523" s="381"/>
      <c r="C2523" s="131"/>
      <c r="D2523" s="131"/>
      <c r="E2523" s="131"/>
      <c r="F2523" s="132"/>
      <c r="G2523" s="132"/>
      <c r="H2523" s="131"/>
    </row>
    <row r="2524" spans="1:8" ht="14.1" customHeight="1">
      <c r="A2524" s="443" t="s">
        <v>2311</v>
      </c>
      <c r="B2524" s="381">
        <f>(B2522+B2523)*0.245</f>
        <v>13.492150000000001</v>
      </c>
      <c r="C2524" s="131"/>
      <c r="D2524" s="131"/>
      <c r="E2524" s="131"/>
      <c r="F2524" s="132"/>
      <c r="G2524" s="132"/>
      <c r="H2524" s="131"/>
    </row>
    <row r="2525" spans="1:8" ht="14.1" customHeight="1">
      <c r="A2525" s="361" t="s">
        <v>98</v>
      </c>
      <c r="B2525" s="467">
        <f>SUM(B2522:B2524)</f>
        <v>68.562150000000003</v>
      </c>
      <c r="C2525" s="131"/>
      <c r="D2525" s="131"/>
      <c r="E2525" s="131"/>
      <c r="F2525" s="132"/>
      <c r="G2525" s="132"/>
      <c r="H2525" s="408"/>
    </row>
    <row r="2526" spans="1:8">
      <c r="A2526" s="362"/>
      <c r="B2526" s="363"/>
      <c r="C2526" s="364"/>
      <c r="D2526" s="362"/>
      <c r="E2526" s="363"/>
      <c r="F2526" s="363"/>
      <c r="G2526" s="363"/>
      <c r="H2526" s="362"/>
    </row>
    <row r="2528" spans="1:8">
      <c r="A2528" s="122" t="s">
        <v>1287</v>
      </c>
    </row>
    <row r="2529" spans="1:8">
      <c r="A2529" s="390" t="s">
        <v>3119</v>
      </c>
      <c r="B2529" s="131"/>
      <c r="C2529" s="131"/>
      <c r="D2529" s="131"/>
      <c r="E2529" s="131"/>
      <c r="F2529" s="131"/>
      <c r="G2529" s="131"/>
      <c r="H2529" s="131"/>
    </row>
    <row r="2530" spans="1:8" ht="40.5" customHeight="1">
      <c r="A2530" s="452" t="s">
        <v>1548</v>
      </c>
      <c r="B2530" s="1136" t="s">
        <v>2296</v>
      </c>
      <c r="C2530" s="1136"/>
      <c r="D2530" s="1136"/>
      <c r="E2530" s="422" t="s">
        <v>1452</v>
      </c>
      <c r="F2530" s="131"/>
      <c r="G2530" s="131"/>
      <c r="H2530" s="131"/>
    </row>
    <row r="2531" spans="1:8" ht="20.399999999999999">
      <c r="A2531" s="309" t="s">
        <v>30</v>
      </c>
      <c r="B2531" s="354" t="s">
        <v>19</v>
      </c>
      <c r="C2531" s="293" t="s">
        <v>81</v>
      </c>
      <c r="D2531" s="294" t="s">
        <v>77</v>
      </c>
      <c r="E2531" s="294" t="s">
        <v>82</v>
      </c>
      <c r="F2531" s="295" t="s">
        <v>83</v>
      </c>
      <c r="G2531" s="355" t="s">
        <v>84</v>
      </c>
      <c r="H2531" s="131"/>
    </row>
    <row r="2532" spans="1:8" ht="14.1" customHeight="1">
      <c r="A2532" s="933" t="s">
        <v>3120</v>
      </c>
      <c r="B2532" s="932" t="s">
        <v>3121</v>
      </c>
      <c r="C2532" s="395" t="s">
        <v>104</v>
      </c>
      <c r="D2532" s="931" t="s">
        <v>383</v>
      </c>
      <c r="E2532" s="929">
        <v>1</v>
      </c>
      <c r="F2532" s="406">
        <v>20.83</v>
      </c>
      <c r="G2532" s="396">
        <f t="shared" ref="G2532" si="95">TRUNC(E2532*F2532,2)</f>
        <v>20.83</v>
      </c>
      <c r="H2532" s="131"/>
    </row>
    <row r="2533" spans="1:8" ht="19.5" customHeight="1">
      <c r="A2533" s="917" t="s">
        <v>3123</v>
      </c>
      <c r="B2533" s="906" t="s">
        <v>3122</v>
      </c>
      <c r="C2533" s="293" t="s">
        <v>104</v>
      </c>
      <c r="D2533" s="931" t="s">
        <v>383</v>
      </c>
      <c r="E2533" s="929">
        <v>1</v>
      </c>
      <c r="F2533" s="349">
        <v>15.09</v>
      </c>
      <c r="G2533" s="358">
        <f>TRUNC(E2533*F2533,2)</f>
        <v>15.09</v>
      </c>
      <c r="H2533" s="131"/>
    </row>
    <row r="2534" spans="1:8" ht="20.399999999999999">
      <c r="A2534" s="492">
        <v>36081</v>
      </c>
      <c r="B2534" s="603" t="s">
        <v>2297</v>
      </c>
      <c r="C2534" s="395" t="s">
        <v>87</v>
      </c>
      <c r="D2534" s="395" t="s">
        <v>1452</v>
      </c>
      <c r="E2534" s="450">
        <v>1</v>
      </c>
      <c r="F2534" s="620">
        <v>88.2</v>
      </c>
      <c r="G2534" s="435">
        <f>TRUNC(E2534*F2534,2)</f>
        <v>88.2</v>
      </c>
      <c r="H2534" s="131"/>
    </row>
    <row r="2535" spans="1:8" ht="14.1" customHeight="1">
      <c r="A2535" s="131"/>
      <c r="B2535" s="131"/>
      <c r="C2535" s="131"/>
      <c r="D2535" s="131"/>
      <c r="E2535" s="131"/>
      <c r="F2535" s="436" t="s">
        <v>90</v>
      </c>
      <c r="G2535" s="619"/>
      <c r="H2535" s="131"/>
    </row>
    <row r="2536" spans="1:8" ht="14.1" customHeight="1">
      <c r="A2536" s="131"/>
      <c r="B2536" s="131"/>
      <c r="C2536" s="131"/>
      <c r="D2536" s="131"/>
      <c r="E2536" s="131"/>
      <c r="F2536" s="412" t="s">
        <v>92</v>
      </c>
      <c r="G2536" s="435">
        <f>SUM(G2532:G2534)</f>
        <v>124.12</v>
      </c>
      <c r="H2536" s="131"/>
    </row>
    <row r="2537" spans="1:8" ht="14.1" customHeight="1">
      <c r="A2537" s="413" t="s">
        <v>94</v>
      </c>
      <c r="B2537" s="131"/>
      <c r="C2537" s="131"/>
      <c r="D2537" s="131"/>
      <c r="E2537" s="131"/>
      <c r="F2537" s="412" t="s">
        <v>93</v>
      </c>
      <c r="G2537" s="883">
        <f>SUM(G2535:G2536)</f>
        <v>124.12</v>
      </c>
      <c r="H2537" s="131"/>
    </row>
    <row r="2538" spans="1:8" ht="14.1" customHeight="1">
      <c r="A2538" s="361" t="s">
        <v>95</v>
      </c>
      <c r="B2538" s="466">
        <f>G2537</f>
        <v>124.12</v>
      </c>
      <c r="C2538" s="131"/>
      <c r="D2538" s="131"/>
      <c r="E2538" s="131"/>
      <c r="F2538" s="132"/>
      <c r="G2538" s="132"/>
      <c r="H2538" s="131"/>
    </row>
    <row r="2539" spans="1:8" ht="14.1" customHeight="1">
      <c r="A2539" s="382" t="s">
        <v>2272</v>
      </c>
      <c r="B2539" s="381"/>
      <c r="C2539" s="131"/>
      <c r="D2539" s="131"/>
      <c r="E2539" s="131"/>
      <c r="F2539" s="132"/>
      <c r="G2539" s="132"/>
      <c r="H2539" s="131"/>
    </row>
    <row r="2540" spans="1:8" ht="14.1" customHeight="1">
      <c r="A2540" s="443" t="s">
        <v>2311</v>
      </c>
      <c r="B2540" s="381">
        <f>(B2538+B2539)*0.245</f>
        <v>30.409400000000002</v>
      </c>
      <c r="C2540" s="131"/>
      <c r="D2540" s="131"/>
      <c r="E2540" s="131"/>
      <c r="F2540" s="132"/>
      <c r="G2540" s="132"/>
      <c r="H2540" s="131"/>
    </row>
    <row r="2541" spans="1:8" ht="14.1" customHeight="1">
      <c r="A2541" s="361" t="s">
        <v>98</v>
      </c>
      <c r="B2541" s="467">
        <f>SUM(B2538:B2540)</f>
        <v>154.52940000000001</v>
      </c>
      <c r="C2541" s="131"/>
      <c r="D2541" s="131"/>
      <c r="E2541" s="131"/>
      <c r="F2541" s="132"/>
      <c r="G2541" s="132"/>
      <c r="H2541" s="408"/>
    </row>
    <row r="2542" spans="1:8">
      <c r="A2542" s="362"/>
      <c r="B2542" s="363"/>
      <c r="C2542" s="364"/>
      <c r="D2542" s="362"/>
      <c r="E2542" s="363"/>
      <c r="F2542" s="363"/>
      <c r="G2542" s="363"/>
      <c r="H2542" s="362"/>
    </row>
    <row r="2544" spans="1:8">
      <c r="A2544" s="122" t="s">
        <v>1287</v>
      </c>
    </row>
    <row r="2545" spans="1:8">
      <c r="A2545" s="390" t="s">
        <v>3124</v>
      </c>
      <c r="B2545" s="131"/>
      <c r="C2545" s="131"/>
      <c r="D2545" s="131"/>
      <c r="E2545" s="131"/>
      <c r="F2545" s="131"/>
      <c r="G2545" s="131"/>
      <c r="H2545" s="131"/>
    </row>
    <row r="2546" spans="1:8" ht="38.25" customHeight="1">
      <c r="A2546" s="452" t="s">
        <v>1548</v>
      </c>
      <c r="B2546" s="1136" t="s">
        <v>2298</v>
      </c>
      <c r="C2546" s="1136"/>
      <c r="D2546" s="1136"/>
      <c r="E2546" s="422" t="s">
        <v>1452</v>
      </c>
      <c r="F2546" s="131"/>
      <c r="G2546" s="131"/>
      <c r="H2546" s="131"/>
    </row>
    <row r="2547" spans="1:8" ht="20.399999999999999">
      <c r="A2547" s="309" t="s">
        <v>30</v>
      </c>
      <c r="B2547" s="354" t="s">
        <v>19</v>
      </c>
      <c r="C2547" s="293" t="s">
        <v>81</v>
      </c>
      <c r="D2547" s="294" t="s">
        <v>77</v>
      </c>
      <c r="E2547" s="294" t="s">
        <v>82</v>
      </c>
      <c r="F2547" s="295" t="s">
        <v>83</v>
      </c>
      <c r="G2547" s="355" t="s">
        <v>84</v>
      </c>
      <c r="H2547" s="131"/>
    </row>
    <row r="2548" spans="1:8" ht="14.1" customHeight="1">
      <c r="A2548" s="1145">
        <v>88316</v>
      </c>
      <c r="B2548" s="1147" t="s">
        <v>110</v>
      </c>
      <c r="C2548" s="395" t="s">
        <v>104</v>
      </c>
      <c r="D2548" s="1143" t="s">
        <v>383</v>
      </c>
      <c r="E2548" s="1139">
        <v>1</v>
      </c>
      <c r="F2548" s="406">
        <f>'COMP AUX'!G104</f>
        <v>11.18</v>
      </c>
      <c r="G2548" s="396">
        <f t="shared" ref="G2548" si="96">TRUNC(E2548*F2548,2)</f>
        <v>11.18</v>
      </c>
      <c r="H2548" s="131"/>
    </row>
    <row r="2549" spans="1:8" ht="14.1" customHeight="1">
      <c r="A2549" s="1146"/>
      <c r="B2549" s="1148"/>
      <c r="C2549" s="395" t="s">
        <v>87</v>
      </c>
      <c r="D2549" s="1144"/>
      <c r="E2549" s="1140"/>
      <c r="F2549" s="406">
        <f>'COMP AUX'!G105</f>
        <v>4.7300000000000004</v>
      </c>
      <c r="G2549" s="396">
        <f>TRUNC(E2548*F2549,2)</f>
        <v>4.7300000000000004</v>
      </c>
      <c r="H2549" s="131"/>
    </row>
    <row r="2550" spans="1:8" ht="14.1" customHeight="1">
      <c r="A2550" s="1141">
        <v>88267</v>
      </c>
      <c r="B2550" s="1129" t="s">
        <v>118</v>
      </c>
      <c r="C2550" s="293" t="s">
        <v>104</v>
      </c>
      <c r="D2550" s="1143" t="s">
        <v>383</v>
      </c>
      <c r="E2550" s="1139">
        <v>1</v>
      </c>
      <c r="F2550" s="349">
        <f>'COMP AUX'!G151</f>
        <v>15.020000000000001</v>
      </c>
      <c r="G2550" s="358">
        <f>TRUNC(E2550*F2550,2)</f>
        <v>15.02</v>
      </c>
      <c r="H2550" s="131"/>
    </row>
    <row r="2551" spans="1:8" ht="14.1" customHeight="1">
      <c r="A2551" s="1142"/>
      <c r="B2551" s="1130"/>
      <c r="C2551" s="395" t="s">
        <v>87</v>
      </c>
      <c r="D2551" s="1144"/>
      <c r="E2551" s="1140"/>
      <c r="F2551" s="406">
        <f>'COMP AUX'!G152</f>
        <v>4.79</v>
      </c>
      <c r="G2551" s="396">
        <f>TRUNC(E2550*F2551,2)</f>
        <v>4.79</v>
      </c>
      <c r="H2551" s="131"/>
    </row>
    <row r="2552" spans="1:8" ht="20.399999999999999">
      <c r="A2552" s="492" t="s">
        <v>3126</v>
      </c>
      <c r="B2552" s="603" t="s">
        <v>3125</v>
      </c>
      <c r="C2552" s="395" t="s">
        <v>87</v>
      </c>
      <c r="D2552" s="395" t="s">
        <v>1452</v>
      </c>
      <c r="E2552" s="450">
        <v>1</v>
      </c>
      <c r="F2552" s="620">
        <v>88.57</v>
      </c>
      <c r="G2552" s="435">
        <f>TRUNC(E2552*F2552,2)</f>
        <v>88.57</v>
      </c>
      <c r="H2552" s="131"/>
    </row>
    <row r="2553" spans="1:8" ht="14.1" customHeight="1">
      <c r="A2553" s="131"/>
      <c r="B2553" s="131"/>
      <c r="C2553" s="131"/>
      <c r="D2553" s="131"/>
      <c r="E2553" s="131"/>
      <c r="F2553" s="436" t="s">
        <v>90</v>
      </c>
      <c r="G2553" s="619">
        <f>G2548+G2550</f>
        <v>26.2</v>
      </c>
      <c r="H2553" s="131"/>
    </row>
    <row r="2554" spans="1:8" ht="14.1" customHeight="1">
      <c r="A2554" s="131"/>
      <c r="B2554" s="131"/>
      <c r="C2554" s="131"/>
      <c r="D2554" s="131"/>
      <c r="E2554" s="131"/>
      <c r="F2554" s="412" t="s">
        <v>92</v>
      </c>
      <c r="G2554" s="435">
        <f>G2549+G2551+G2552</f>
        <v>98.089999999999989</v>
      </c>
      <c r="H2554" s="131"/>
    </row>
    <row r="2555" spans="1:8" ht="14.1" customHeight="1">
      <c r="A2555" s="413" t="s">
        <v>94</v>
      </c>
      <c r="B2555" s="131"/>
      <c r="C2555" s="131"/>
      <c r="D2555" s="131"/>
      <c r="E2555" s="131"/>
      <c r="F2555" s="412" t="s">
        <v>93</v>
      </c>
      <c r="G2555" s="883">
        <f>SUM(G2553:G2554)</f>
        <v>124.28999999999999</v>
      </c>
      <c r="H2555" s="131"/>
    </row>
    <row r="2556" spans="1:8" ht="14.1" customHeight="1">
      <c r="A2556" s="361" t="s">
        <v>95</v>
      </c>
      <c r="B2556" s="466">
        <f>G2555</f>
        <v>124.28999999999999</v>
      </c>
      <c r="C2556" s="131"/>
      <c r="D2556" s="131"/>
      <c r="E2556" s="131"/>
      <c r="F2556" s="132"/>
      <c r="G2556" s="132"/>
      <c r="H2556" s="131"/>
    </row>
    <row r="2557" spans="1:8" ht="14.1" customHeight="1">
      <c r="A2557" s="382" t="s">
        <v>2272</v>
      </c>
      <c r="B2557" s="381"/>
      <c r="C2557" s="131"/>
      <c r="D2557" s="131"/>
      <c r="E2557" s="131"/>
      <c r="F2557" s="132"/>
      <c r="G2557" s="132"/>
      <c r="H2557" s="131"/>
    </row>
    <row r="2558" spans="1:8" ht="14.1" customHeight="1">
      <c r="A2558" s="443" t="s">
        <v>2311</v>
      </c>
      <c r="B2558" s="381">
        <f>(B2556+B2557)*0.245</f>
        <v>30.451049999999999</v>
      </c>
      <c r="C2558" s="131"/>
      <c r="D2558" s="131"/>
      <c r="E2558" s="131"/>
      <c r="F2558" s="132"/>
      <c r="G2558" s="132"/>
      <c r="H2558" s="131"/>
    </row>
    <row r="2559" spans="1:8" ht="14.1" customHeight="1">
      <c r="A2559" s="361" t="s">
        <v>98</v>
      </c>
      <c r="B2559" s="467">
        <f>SUM(B2556:B2558)</f>
        <v>154.74105</v>
      </c>
      <c r="C2559" s="131"/>
      <c r="D2559" s="131"/>
      <c r="E2559" s="131"/>
      <c r="F2559" s="132"/>
      <c r="G2559" s="132"/>
      <c r="H2559" s="408"/>
    </row>
    <row r="2560" spans="1:8">
      <c r="A2560" s="362"/>
      <c r="B2560" s="363"/>
      <c r="C2560" s="364"/>
      <c r="D2560" s="362"/>
      <c r="E2560" s="363"/>
      <c r="F2560" s="363"/>
      <c r="G2560" s="363"/>
      <c r="H2560" s="362"/>
    </row>
    <row r="2562" spans="1:8">
      <c r="A2562" s="122" t="s">
        <v>1287</v>
      </c>
    </row>
    <row r="2563" spans="1:8">
      <c r="A2563" s="390" t="s">
        <v>3127</v>
      </c>
      <c r="B2563" s="131"/>
      <c r="C2563" s="131"/>
      <c r="D2563" s="131"/>
      <c r="E2563" s="131"/>
      <c r="F2563" s="131"/>
      <c r="G2563" s="131"/>
      <c r="H2563" s="131"/>
    </row>
    <row r="2564" spans="1:8" ht="37.5" customHeight="1">
      <c r="A2564" s="452" t="s">
        <v>1548</v>
      </c>
      <c r="B2564" s="1136" t="s">
        <v>2299</v>
      </c>
      <c r="C2564" s="1136"/>
      <c r="D2564" s="1136"/>
      <c r="E2564" s="422" t="s">
        <v>1452</v>
      </c>
      <c r="F2564" s="131"/>
      <c r="G2564" s="131"/>
      <c r="H2564" s="131"/>
    </row>
    <row r="2565" spans="1:8" ht="20.399999999999999">
      <c r="A2565" s="309" t="s">
        <v>30</v>
      </c>
      <c r="B2565" s="354" t="s">
        <v>19</v>
      </c>
      <c r="C2565" s="293" t="s">
        <v>81</v>
      </c>
      <c r="D2565" s="294" t="s">
        <v>77</v>
      </c>
      <c r="E2565" s="294" t="s">
        <v>82</v>
      </c>
      <c r="F2565" s="295" t="s">
        <v>83</v>
      </c>
      <c r="G2565" s="355" t="s">
        <v>84</v>
      </c>
      <c r="H2565" s="131"/>
    </row>
    <row r="2566" spans="1:8" ht="14.1" customHeight="1">
      <c r="A2566" s="1145">
        <v>88316</v>
      </c>
      <c r="B2566" s="1147" t="s">
        <v>110</v>
      </c>
      <c r="C2566" s="395" t="s">
        <v>104</v>
      </c>
      <c r="D2566" s="1143" t="s">
        <v>383</v>
      </c>
      <c r="E2566" s="1139">
        <v>1</v>
      </c>
      <c r="F2566" s="406">
        <f>'COMP AUX'!G104</f>
        <v>11.18</v>
      </c>
      <c r="G2566" s="396">
        <f t="shared" ref="G2566" si="97">TRUNC(E2566*F2566,2)</f>
        <v>11.18</v>
      </c>
      <c r="H2566" s="131"/>
    </row>
    <row r="2567" spans="1:8" ht="14.1" customHeight="1">
      <c r="A2567" s="1146"/>
      <c r="B2567" s="1148"/>
      <c r="C2567" s="395" t="s">
        <v>87</v>
      </c>
      <c r="D2567" s="1144"/>
      <c r="E2567" s="1140"/>
      <c r="F2567" s="406">
        <f>'COMP AUX'!G105</f>
        <v>4.7300000000000004</v>
      </c>
      <c r="G2567" s="396">
        <f>TRUNC(E2566*F2567,2)</f>
        <v>4.7300000000000004</v>
      </c>
      <c r="H2567" s="131"/>
    </row>
    <row r="2568" spans="1:8" ht="14.1" customHeight="1">
      <c r="A2568" s="1141">
        <v>88267</v>
      </c>
      <c r="B2568" s="1129" t="s">
        <v>118</v>
      </c>
      <c r="C2568" s="293" t="s">
        <v>104</v>
      </c>
      <c r="D2568" s="1143" t="s">
        <v>383</v>
      </c>
      <c r="E2568" s="1139">
        <v>1</v>
      </c>
      <c r="F2568" s="349">
        <f>'COMP AUX'!G151</f>
        <v>15.020000000000001</v>
      </c>
      <c r="G2568" s="358">
        <f>TRUNC(E2568*F2568,2)</f>
        <v>15.02</v>
      </c>
      <c r="H2568" s="131"/>
    </row>
    <row r="2569" spans="1:8" ht="14.1" customHeight="1">
      <c r="A2569" s="1142"/>
      <c r="B2569" s="1130"/>
      <c r="C2569" s="395" t="s">
        <v>87</v>
      </c>
      <c r="D2569" s="1144"/>
      <c r="E2569" s="1140"/>
      <c r="F2569" s="406">
        <f>'COMP AUX'!G152</f>
        <v>4.79</v>
      </c>
      <c r="G2569" s="396">
        <f>TRUNC(E2568*F2569,2)</f>
        <v>4.79</v>
      </c>
      <c r="H2569" s="131"/>
    </row>
    <row r="2570" spans="1:8" ht="20.399999999999999">
      <c r="A2570" s="492" t="s">
        <v>3129</v>
      </c>
      <c r="B2570" s="603" t="s">
        <v>3128</v>
      </c>
      <c r="C2570" s="395" t="s">
        <v>87</v>
      </c>
      <c r="D2570" s="395" t="s">
        <v>1452</v>
      </c>
      <c r="E2570" s="450">
        <v>1</v>
      </c>
      <c r="F2570" s="620">
        <v>68.5</v>
      </c>
      <c r="G2570" s="435">
        <f>TRUNC(E2570*F2570,2)</f>
        <v>68.5</v>
      </c>
      <c r="H2570" s="131"/>
    </row>
    <row r="2571" spans="1:8" ht="14.1" customHeight="1">
      <c r="A2571" s="131"/>
      <c r="B2571" s="131"/>
      <c r="C2571" s="131"/>
      <c r="D2571" s="131"/>
      <c r="E2571" s="131"/>
      <c r="F2571" s="436" t="s">
        <v>90</v>
      </c>
      <c r="G2571" s="619">
        <f>G2566+G2568</f>
        <v>26.2</v>
      </c>
      <c r="H2571" s="131"/>
    </row>
    <row r="2572" spans="1:8" ht="14.1" customHeight="1">
      <c r="A2572" s="131"/>
      <c r="B2572" s="131"/>
      <c r="C2572" s="131"/>
      <c r="D2572" s="131"/>
      <c r="E2572" s="131"/>
      <c r="F2572" s="412" t="s">
        <v>92</v>
      </c>
      <c r="G2572" s="435">
        <f>G2567+G2569+G2570</f>
        <v>78.02</v>
      </c>
      <c r="H2572" s="131"/>
    </row>
    <row r="2573" spans="1:8" ht="14.1" customHeight="1">
      <c r="A2573" s="413" t="s">
        <v>94</v>
      </c>
      <c r="B2573" s="131"/>
      <c r="C2573" s="131"/>
      <c r="D2573" s="131"/>
      <c r="E2573" s="131"/>
      <c r="F2573" s="412" t="s">
        <v>93</v>
      </c>
      <c r="G2573" s="883">
        <f>SUM(G2571:G2572)</f>
        <v>104.22</v>
      </c>
      <c r="H2573" s="131"/>
    </row>
    <row r="2574" spans="1:8" ht="14.1" customHeight="1">
      <c r="A2574" s="361" t="s">
        <v>95</v>
      </c>
      <c r="B2574" s="466">
        <f>G2573</f>
        <v>104.22</v>
      </c>
      <c r="C2574" s="131"/>
      <c r="D2574" s="131"/>
      <c r="E2574" s="131"/>
      <c r="F2574" s="132"/>
      <c r="G2574" s="132"/>
      <c r="H2574" s="131"/>
    </row>
    <row r="2575" spans="1:8" ht="14.1" customHeight="1">
      <c r="A2575" s="382" t="s">
        <v>2272</v>
      </c>
      <c r="B2575" s="381"/>
      <c r="C2575" s="131"/>
      <c r="D2575" s="131"/>
      <c r="E2575" s="131"/>
      <c r="F2575" s="132"/>
      <c r="G2575" s="132"/>
      <c r="H2575" s="131"/>
    </row>
    <row r="2576" spans="1:8" ht="14.1" customHeight="1">
      <c r="A2576" s="443" t="s">
        <v>2311</v>
      </c>
      <c r="B2576" s="381">
        <f>(B2574+B2575)*0.245</f>
        <v>25.533899999999999</v>
      </c>
      <c r="C2576" s="131"/>
      <c r="D2576" s="131"/>
      <c r="E2576" s="131"/>
      <c r="F2576" s="132"/>
      <c r="G2576" s="132"/>
      <c r="H2576" s="131"/>
    </row>
    <row r="2577" spans="1:8" ht="14.1" customHeight="1">
      <c r="A2577" s="361" t="s">
        <v>98</v>
      </c>
      <c r="B2577" s="1008">
        <f>SUM(B2574:B2576)</f>
        <v>129.75389999999999</v>
      </c>
      <c r="C2577" s="131"/>
      <c r="D2577" s="131"/>
      <c r="E2577" s="131"/>
      <c r="F2577" s="132"/>
      <c r="G2577" s="132"/>
      <c r="H2577" s="408"/>
    </row>
    <row r="2578" spans="1:8">
      <c r="A2578" s="362"/>
      <c r="B2578" s="363"/>
      <c r="C2578" s="364"/>
      <c r="D2578" s="362"/>
      <c r="E2578" s="363"/>
      <c r="F2578" s="363"/>
      <c r="G2578" s="363"/>
      <c r="H2578" s="362"/>
    </row>
    <row r="2580" spans="1:8">
      <c r="A2580" s="122" t="s">
        <v>1287</v>
      </c>
    </row>
    <row r="2581" spans="1:8">
      <c r="A2581" s="390" t="s">
        <v>3130</v>
      </c>
      <c r="B2581" s="131"/>
      <c r="C2581" s="131"/>
      <c r="D2581" s="131"/>
      <c r="E2581" s="131"/>
      <c r="F2581" s="131"/>
      <c r="G2581" s="131"/>
      <c r="H2581" s="131"/>
    </row>
    <row r="2582" spans="1:8" ht="48.75" customHeight="1">
      <c r="A2582" s="452" t="s">
        <v>1548</v>
      </c>
      <c r="B2582" s="1136" t="s">
        <v>2300</v>
      </c>
      <c r="C2582" s="1136"/>
      <c r="D2582" s="1136"/>
      <c r="E2582" s="411" t="s">
        <v>1452</v>
      </c>
      <c r="F2582" s="131"/>
      <c r="G2582" s="131"/>
      <c r="H2582" s="131"/>
    </row>
    <row r="2583" spans="1:8" ht="20.399999999999999">
      <c r="A2583" s="309" t="s">
        <v>30</v>
      </c>
      <c r="B2583" s="354" t="s">
        <v>19</v>
      </c>
      <c r="C2583" s="293" t="s">
        <v>81</v>
      </c>
      <c r="D2583" s="294" t="s">
        <v>77</v>
      </c>
      <c r="E2583" s="294" t="s">
        <v>82</v>
      </c>
      <c r="F2583" s="295" t="s">
        <v>83</v>
      </c>
      <c r="G2583" s="355" t="s">
        <v>84</v>
      </c>
      <c r="H2583" s="131"/>
    </row>
    <row r="2584" spans="1:8" ht="14.1" customHeight="1">
      <c r="A2584" s="1145">
        <v>88316</v>
      </c>
      <c r="B2584" s="1147" t="s">
        <v>110</v>
      </c>
      <c r="C2584" s="395" t="s">
        <v>104</v>
      </c>
      <c r="D2584" s="1143" t="s">
        <v>383</v>
      </c>
      <c r="E2584" s="1139">
        <v>1</v>
      </c>
      <c r="F2584" s="406">
        <f>'COMP AUX'!G104</f>
        <v>11.18</v>
      </c>
      <c r="G2584" s="396">
        <f t="shared" ref="G2584" si="98">TRUNC(E2584*F2584,2)</f>
        <v>11.18</v>
      </c>
      <c r="H2584" s="131"/>
    </row>
    <row r="2585" spans="1:8" ht="14.1" customHeight="1">
      <c r="A2585" s="1146"/>
      <c r="B2585" s="1148"/>
      <c r="C2585" s="395" t="s">
        <v>87</v>
      </c>
      <c r="D2585" s="1144"/>
      <c r="E2585" s="1140"/>
      <c r="F2585" s="406">
        <f>'COMP AUX'!G105</f>
        <v>4.7300000000000004</v>
      </c>
      <c r="G2585" s="396">
        <f>TRUNC(E2584*F2585,2)</f>
        <v>4.7300000000000004</v>
      </c>
      <c r="H2585" s="131"/>
    </row>
    <row r="2586" spans="1:8" ht="14.1" customHeight="1">
      <c r="A2586" s="1141">
        <v>88267</v>
      </c>
      <c r="B2586" s="1129" t="s">
        <v>118</v>
      </c>
      <c r="C2586" s="293" t="s">
        <v>104</v>
      </c>
      <c r="D2586" s="1143" t="s">
        <v>383</v>
      </c>
      <c r="E2586" s="1139">
        <v>1</v>
      </c>
      <c r="F2586" s="349">
        <f>'COMP AUX'!G151</f>
        <v>15.020000000000001</v>
      </c>
      <c r="G2586" s="358">
        <f>TRUNC(E2586*F2586,2)</f>
        <v>15.02</v>
      </c>
      <c r="H2586" s="131"/>
    </row>
    <row r="2587" spans="1:8" ht="14.1" customHeight="1">
      <c r="A2587" s="1142"/>
      <c r="B2587" s="1130"/>
      <c r="C2587" s="395" t="s">
        <v>87</v>
      </c>
      <c r="D2587" s="1144"/>
      <c r="E2587" s="1140"/>
      <c r="F2587" s="406">
        <f>'COMP AUX'!G152</f>
        <v>4.79</v>
      </c>
      <c r="G2587" s="396">
        <f>TRUNC(E2586*F2587,2)</f>
        <v>4.79</v>
      </c>
      <c r="H2587" s="131"/>
    </row>
    <row r="2588" spans="1:8" ht="20.399999999999999">
      <c r="A2588" s="492" t="s">
        <v>3132</v>
      </c>
      <c r="B2588" s="603" t="s">
        <v>3131</v>
      </c>
      <c r="C2588" s="395" t="s">
        <v>87</v>
      </c>
      <c r="D2588" s="395" t="s">
        <v>1452</v>
      </c>
      <c r="E2588" s="450">
        <v>1</v>
      </c>
      <c r="F2588" s="620">
        <v>500.18</v>
      </c>
      <c r="G2588" s="435">
        <f>TRUNC(E2588*F2588,2)</f>
        <v>500.18</v>
      </c>
      <c r="H2588" s="131"/>
    </row>
    <row r="2589" spans="1:8" ht="14.1" customHeight="1">
      <c r="A2589" s="131"/>
      <c r="B2589" s="131"/>
      <c r="C2589" s="131"/>
      <c r="D2589" s="131"/>
      <c r="E2589" s="131"/>
      <c r="F2589" s="436" t="s">
        <v>90</v>
      </c>
      <c r="G2589" s="619">
        <f>G2584+G2586</f>
        <v>26.2</v>
      </c>
      <c r="H2589" s="131"/>
    </row>
    <row r="2590" spans="1:8" ht="14.1" customHeight="1">
      <c r="A2590" s="131"/>
      <c r="B2590" s="131"/>
      <c r="C2590" s="131"/>
      <c r="D2590" s="131"/>
      <c r="E2590" s="131"/>
      <c r="F2590" s="412" t="s">
        <v>92</v>
      </c>
      <c r="G2590" s="435">
        <f>G2585+G2587+G2588</f>
        <v>509.7</v>
      </c>
      <c r="H2590" s="131"/>
    </row>
    <row r="2591" spans="1:8" ht="14.1" customHeight="1">
      <c r="A2591" s="413" t="s">
        <v>94</v>
      </c>
      <c r="B2591" s="131"/>
      <c r="C2591" s="131"/>
      <c r="D2591" s="131"/>
      <c r="E2591" s="131"/>
      <c r="F2591" s="412" t="s">
        <v>93</v>
      </c>
      <c r="G2591" s="437">
        <f>SUM(G2589:G2590)</f>
        <v>535.9</v>
      </c>
      <c r="H2591" s="131"/>
    </row>
    <row r="2592" spans="1:8" ht="14.1" customHeight="1">
      <c r="A2592" s="361" t="s">
        <v>95</v>
      </c>
      <c r="B2592" s="466">
        <f>G2591</f>
        <v>535.9</v>
      </c>
      <c r="C2592" s="131"/>
      <c r="D2592" s="131"/>
      <c r="E2592" s="131"/>
      <c r="F2592" s="132"/>
      <c r="G2592" s="132"/>
      <c r="H2592" s="131"/>
    </row>
    <row r="2593" spans="1:8" ht="14.1" customHeight="1">
      <c r="A2593" s="382" t="s">
        <v>2272</v>
      </c>
      <c r="B2593" s="381"/>
      <c r="C2593" s="131"/>
      <c r="D2593" s="131"/>
      <c r="E2593" s="131"/>
      <c r="F2593" s="132"/>
      <c r="G2593" s="132"/>
      <c r="H2593" s="131"/>
    </row>
    <row r="2594" spans="1:8" ht="14.1" customHeight="1">
      <c r="A2594" s="443" t="s">
        <v>2311</v>
      </c>
      <c r="B2594" s="381">
        <f>(B2592+B2593)*0.245</f>
        <v>131.2955</v>
      </c>
      <c r="C2594" s="131"/>
      <c r="D2594" s="131"/>
      <c r="E2594" s="131"/>
      <c r="F2594" s="132"/>
      <c r="G2594" s="132"/>
      <c r="H2594" s="131"/>
    </row>
    <row r="2595" spans="1:8" ht="14.1" customHeight="1">
      <c r="A2595" s="361" t="s">
        <v>98</v>
      </c>
      <c r="B2595" s="467">
        <f>SUM(B2592:B2594)</f>
        <v>667.19550000000004</v>
      </c>
      <c r="C2595" s="131"/>
      <c r="D2595" s="131"/>
      <c r="E2595" s="131"/>
      <c r="F2595" s="132"/>
      <c r="G2595" s="132"/>
      <c r="H2595" s="408"/>
    </row>
    <row r="2596" spans="1:8">
      <c r="A2596" s="362"/>
      <c r="B2596" s="363"/>
      <c r="C2596" s="364"/>
      <c r="D2596" s="362"/>
      <c r="E2596" s="363"/>
      <c r="F2596" s="363"/>
      <c r="G2596" s="363"/>
      <c r="H2596" s="362"/>
    </row>
    <row r="2598" spans="1:8">
      <c r="A2598" s="122" t="s">
        <v>2710</v>
      </c>
    </row>
    <row r="2599" spans="1:8">
      <c r="A2599" s="951" t="s">
        <v>2909</v>
      </c>
      <c r="B2599" s="952"/>
      <c r="C2599" s="952"/>
      <c r="D2599" s="952"/>
      <c r="E2599" s="952"/>
      <c r="F2599" s="952"/>
      <c r="G2599" s="952"/>
      <c r="H2599" s="952"/>
    </row>
    <row r="2600" spans="1:8" ht="24" customHeight="1">
      <c r="A2600" s="452" t="s">
        <v>1548</v>
      </c>
      <c r="B2600" s="1136" t="s">
        <v>2911</v>
      </c>
      <c r="C2600" s="1136"/>
      <c r="D2600" s="1136"/>
      <c r="E2600" s="411" t="s">
        <v>1452</v>
      </c>
      <c r="F2600" s="952"/>
      <c r="G2600" s="952"/>
      <c r="H2600" s="952"/>
    </row>
    <row r="2601" spans="1:8" ht="20.399999999999999">
      <c r="A2601" s="945" t="s">
        <v>30</v>
      </c>
      <c r="B2601" s="354" t="s">
        <v>19</v>
      </c>
      <c r="C2601" s="293" t="s">
        <v>81</v>
      </c>
      <c r="D2601" s="908" t="s">
        <v>77</v>
      </c>
      <c r="E2601" s="908" t="s">
        <v>82</v>
      </c>
      <c r="F2601" s="909" t="s">
        <v>83</v>
      </c>
      <c r="G2601" s="355" t="s">
        <v>84</v>
      </c>
      <c r="H2601" s="952"/>
    </row>
    <row r="2602" spans="1:8" ht="14.1" customHeight="1">
      <c r="A2602" s="1145">
        <v>88316</v>
      </c>
      <c r="B2602" s="1147" t="s">
        <v>110</v>
      </c>
      <c r="C2602" s="395" t="s">
        <v>104</v>
      </c>
      <c r="D2602" s="1143" t="s">
        <v>383</v>
      </c>
      <c r="E2602" s="1137">
        <v>0.1525</v>
      </c>
      <c r="F2602" s="406">
        <f>'COMP AUX'!G104</f>
        <v>11.18</v>
      </c>
      <c r="G2602" s="396">
        <f>TRUNC(E2602*F2602,2)</f>
        <v>1.7</v>
      </c>
      <c r="H2602" s="952"/>
    </row>
    <row r="2603" spans="1:8" ht="14.1" customHeight="1">
      <c r="A2603" s="1146"/>
      <c r="B2603" s="1148"/>
      <c r="C2603" s="395" t="s">
        <v>87</v>
      </c>
      <c r="D2603" s="1144"/>
      <c r="E2603" s="1138"/>
      <c r="F2603" s="406">
        <f>'COMP AUX'!G105</f>
        <v>4.7300000000000004</v>
      </c>
      <c r="G2603" s="396">
        <f>TRUNC(E2602*F2603,2)</f>
        <v>0.72</v>
      </c>
      <c r="H2603" s="952"/>
    </row>
    <row r="2604" spans="1:8" ht="14.1" customHeight="1">
      <c r="A2604" s="1141">
        <v>88267</v>
      </c>
      <c r="B2604" s="1129" t="s">
        <v>2910</v>
      </c>
      <c r="C2604" s="293" t="s">
        <v>104</v>
      </c>
      <c r="D2604" s="1143" t="s">
        <v>383</v>
      </c>
      <c r="E2604" s="1137">
        <v>0.1525</v>
      </c>
      <c r="F2604" s="349">
        <f>'COMP AUX'!G338</f>
        <v>15.5</v>
      </c>
      <c r="G2604" s="358">
        <f>TRUNC(E2604*F2604,2)</f>
        <v>2.36</v>
      </c>
      <c r="H2604" s="952"/>
    </row>
    <row r="2605" spans="1:8" ht="14.1" customHeight="1">
      <c r="A2605" s="1142"/>
      <c r="B2605" s="1130"/>
      <c r="C2605" s="395" t="s">
        <v>87</v>
      </c>
      <c r="D2605" s="1144"/>
      <c r="E2605" s="1138"/>
      <c r="F2605" s="406">
        <f>'COMP AUX'!G339</f>
        <v>4.4000000000000004</v>
      </c>
      <c r="G2605" s="396">
        <f>TRUNC(E2604*F2605,2)</f>
        <v>0.67</v>
      </c>
      <c r="H2605" s="952"/>
    </row>
    <row r="2606" spans="1:8" ht="20.25" customHeight="1">
      <c r="A2606" s="918">
        <v>3146</v>
      </c>
      <c r="B2606" s="907" t="s">
        <v>266</v>
      </c>
      <c r="C2606" s="395" t="s">
        <v>87</v>
      </c>
      <c r="D2606" s="395" t="s">
        <v>1452</v>
      </c>
      <c r="E2606" s="930">
        <v>2.1000000000000001E-2</v>
      </c>
      <c r="F2606" s="406">
        <v>4.24</v>
      </c>
      <c r="G2606" s="396">
        <f>TRUNC(E2606*F2606,2)</f>
        <v>0.08</v>
      </c>
      <c r="H2606" s="952"/>
    </row>
    <row r="2607" spans="1:8" ht="16.5" customHeight="1">
      <c r="A2607" s="492">
        <v>11684</v>
      </c>
      <c r="B2607" s="603" t="s">
        <v>1757</v>
      </c>
      <c r="C2607" s="395" t="s">
        <v>87</v>
      </c>
      <c r="D2607" s="395" t="s">
        <v>1452</v>
      </c>
      <c r="E2607" s="450">
        <v>1</v>
      </c>
      <c r="F2607" s="620">
        <v>37.56</v>
      </c>
      <c r="G2607" s="396">
        <f>TRUNC(E2607*F2607,2)</f>
        <v>37.56</v>
      </c>
      <c r="H2607" s="952"/>
    </row>
    <row r="2608" spans="1:8" ht="14.1" customHeight="1">
      <c r="A2608" s="952"/>
      <c r="B2608" s="952"/>
      <c r="C2608" s="952"/>
      <c r="D2608" s="952"/>
      <c r="E2608" s="952"/>
      <c r="F2608" s="436" t="s">
        <v>90</v>
      </c>
      <c r="G2608" s="619">
        <f>G2602+G2604</f>
        <v>4.0599999999999996</v>
      </c>
      <c r="H2608" s="952"/>
    </row>
    <row r="2609" spans="1:8" ht="14.1" customHeight="1">
      <c r="A2609" s="952"/>
      <c r="B2609" s="952"/>
      <c r="C2609" s="952"/>
      <c r="D2609" s="952"/>
      <c r="E2609" s="952"/>
      <c r="F2609" s="412" t="s">
        <v>92</v>
      </c>
      <c r="G2609" s="435">
        <f>G2603+G2605+G2607</f>
        <v>38.950000000000003</v>
      </c>
      <c r="H2609" s="952"/>
    </row>
    <row r="2610" spans="1:8" ht="14.1" customHeight="1">
      <c r="A2610" s="413" t="s">
        <v>94</v>
      </c>
      <c r="B2610" s="952"/>
      <c r="C2610" s="952"/>
      <c r="D2610" s="952"/>
      <c r="E2610" s="952"/>
      <c r="F2610" s="412" t="s">
        <v>93</v>
      </c>
      <c r="G2610" s="883">
        <f>SUM(G2608:G2609)</f>
        <v>43.010000000000005</v>
      </c>
      <c r="H2610" s="952"/>
    </row>
    <row r="2611" spans="1:8" ht="14.1" customHeight="1">
      <c r="A2611" s="361" t="s">
        <v>95</v>
      </c>
      <c r="B2611" s="466">
        <f>G2610</f>
        <v>43.010000000000005</v>
      </c>
      <c r="C2611" s="952"/>
      <c r="D2611" s="952"/>
      <c r="E2611" s="952"/>
      <c r="F2611" s="132"/>
      <c r="G2611" s="132"/>
      <c r="H2611" s="952"/>
    </row>
    <row r="2612" spans="1:8" ht="14.1" customHeight="1">
      <c r="A2612" s="382" t="s">
        <v>2272</v>
      </c>
      <c r="B2612" s="381"/>
      <c r="C2612" s="952"/>
      <c r="D2612" s="952"/>
      <c r="E2612" s="952"/>
      <c r="F2612" s="132"/>
      <c r="G2612" s="132"/>
      <c r="H2612" s="952"/>
    </row>
    <row r="2613" spans="1:8" ht="14.1" customHeight="1">
      <c r="A2613" s="443" t="s">
        <v>2311</v>
      </c>
      <c r="B2613" s="381">
        <f>(B2611+B2612)*0.245</f>
        <v>10.537450000000002</v>
      </c>
      <c r="C2613" s="952"/>
      <c r="D2613" s="952"/>
      <c r="E2613" s="952"/>
      <c r="F2613" s="132"/>
      <c r="G2613" s="132"/>
      <c r="H2613" s="952"/>
    </row>
    <row r="2614" spans="1:8" ht="14.1" customHeight="1">
      <c r="A2614" s="361" t="s">
        <v>98</v>
      </c>
      <c r="B2614" s="467">
        <f>SUM(B2611:B2613)</f>
        <v>53.547450000000005</v>
      </c>
      <c r="C2614" s="952"/>
      <c r="D2614" s="952"/>
      <c r="E2614" s="952"/>
      <c r="F2614" s="132"/>
      <c r="G2614" s="132"/>
      <c r="H2614" s="408"/>
    </row>
    <row r="2615" spans="1:8">
      <c r="A2615" s="362"/>
      <c r="B2615" s="363"/>
      <c r="C2615" s="364"/>
      <c r="D2615" s="362"/>
      <c r="E2615" s="363"/>
      <c r="F2615" s="363"/>
      <c r="G2615" s="363"/>
      <c r="H2615" s="362"/>
    </row>
    <row r="2617" spans="1:8">
      <c r="A2617" s="122" t="s">
        <v>2710</v>
      </c>
    </row>
    <row r="2618" spans="1:8">
      <c r="A2618" s="951" t="s">
        <v>2912</v>
      </c>
      <c r="B2618" s="952"/>
      <c r="C2618" s="952"/>
      <c r="D2618" s="952"/>
      <c r="E2618" s="952"/>
      <c r="F2618" s="952"/>
      <c r="G2618" s="952"/>
      <c r="H2618" s="952"/>
    </row>
    <row r="2619" spans="1:8" ht="24" customHeight="1">
      <c r="A2619" s="452" t="s">
        <v>1548</v>
      </c>
      <c r="B2619" s="1136" t="s">
        <v>2913</v>
      </c>
      <c r="C2619" s="1136"/>
      <c r="D2619" s="1136"/>
      <c r="E2619" s="411" t="s">
        <v>1452</v>
      </c>
      <c r="F2619" s="952"/>
      <c r="G2619" s="952"/>
      <c r="H2619" s="952"/>
    </row>
    <row r="2620" spans="1:8" ht="20.399999999999999">
      <c r="A2620" s="945" t="s">
        <v>30</v>
      </c>
      <c r="B2620" s="354" t="s">
        <v>19</v>
      </c>
      <c r="C2620" s="293" t="s">
        <v>81</v>
      </c>
      <c r="D2620" s="908" t="s">
        <v>77</v>
      </c>
      <c r="E2620" s="908" t="s">
        <v>82</v>
      </c>
      <c r="F2620" s="909" t="s">
        <v>83</v>
      </c>
      <c r="G2620" s="355" t="s">
        <v>84</v>
      </c>
      <c r="H2620" s="952"/>
    </row>
    <row r="2621" spans="1:8" ht="14.1" customHeight="1">
      <c r="A2621" s="1145">
        <v>88316</v>
      </c>
      <c r="B2621" s="1147" t="s">
        <v>110</v>
      </c>
      <c r="C2621" s="395" t="s">
        <v>104</v>
      </c>
      <c r="D2621" s="1143" t="s">
        <v>383</v>
      </c>
      <c r="E2621" s="1137">
        <v>0.77910000000000001</v>
      </c>
      <c r="F2621" s="406">
        <f>'COMP AUX'!G104</f>
        <v>11.18</v>
      </c>
      <c r="G2621" s="396">
        <f>TRUNC(E2621*F2621,2)</f>
        <v>8.7100000000000009</v>
      </c>
      <c r="H2621" s="952"/>
    </row>
    <row r="2622" spans="1:8" ht="14.1" customHeight="1">
      <c r="A2622" s="1146"/>
      <c r="B2622" s="1148"/>
      <c r="C2622" s="395" t="s">
        <v>87</v>
      </c>
      <c r="D2622" s="1144"/>
      <c r="E2622" s="1138"/>
      <c r="F2622" s="406">
        <f>'COMP AUX'!G105</f>
        <v>4.7300000000000004</v>
      </c>
      <c r="G2622" s="396">
        <f>TRUNC(E2621*F2622,2)</f>
        <v>3.68</v>
      </c>
      <c r="H2622" s="952"/>
    </row>
    <row r="2623" spans="1:8" ht="14.1" customHeight="1">
      <c r="A2623" s="1141">
        <v>88267</v>
      </c>
      <c r="B2623" s="1129" t="s">
        <v>2910</v>
      </c>
      <c r="C2623" s="293" t="s">
        <v>104</v>
      </c>
      <c r="D2623" s="1143" t="s">
        <v>383</v>
      </c>
      <c r="E2623" s="1137">
        <v>0.43840000000000001</v>
      </c>
      <c r="F2623" s="349">
        <f>'COMP AUX'!G338</f>
        <v>15.5</v>
      </c>
      <c r="G2623" s="396">
        <f>TRUNC(E2623*F2623,2)</f>
        <v>6.79</v>
      </c>
      <c r="H2623" s="952"/>
    </row>
    <row r="2624" spans="1:8" ht="14.1" customHeight="1">
      <c r="A2624" s="1142"/>
      <c r="B2624" s="1130"/>
      <c r="C2624" s="395" t="s">
        <v>87</v>
      </c>
      <c r="D2624" s="1144"/>
      <c r="E2624" s="1138"/>
      <c r="F2624" s="406">
        <f>'COMP AUX'!G339</f>
        <v>4.4000000000000004</v>
      </c>
      <c r="G2624" s="396">
        <f>TRUNC(E2623*F2624,2)</f>
        <v>1.92</v>
      </c>
      <c r="H2624" s="952"/>
    </row>
    <row r="2625" spans="1:8" ht="31.5" customHeight="1">
      <c r="A2625" s="918">
        <v>4384</v>
      </c>
      <c r="B2625" s="907" t="s">
        <v>1760</v>
      </c>
      <c r="C2625" s="395" t="s">
        <v>87</v>
      </c>
      <c r="D2625" s="395" t="s">
        <v>2713</v>
      </c>
      <c r="E2625" s="946">
        <v>2</v>
      </c>
      <c r="F2625" s="406">
        <v>15.58</v>
      </c>
      <c r="G2625" s="396">
        <f>TRUNC(E2625*F2625,2)</f>
        <v>31.16</v>
      </c>
      <c r="H2625" s="952"/>
    </row>
    <row r="2626" spans="1:8" ht="15" customHeight="1">
      <c r="A2626" s="918" t="s">
        <v>2914</v>
      </c>
      <c r="B2626" s="907" t="s">
        <v>1920</v>
      </c>
      <c r="C2626" s="395" t="s">
        <v>87</v>
      </c>
      <c r="D2626" s="395" t="s">
        <v>2713</v>
      </c>
      <c r="E2626" s="946">
        <v>1</v>
      </c>
      <c r="F2626" s="406">
        <v>1.83</v>
      </c>
      <c r="G2626" s="396">
        <f>TRUNC(E2626*F2626,2)</f>
        <v>1.83</v>
      </c>
      <c r="H2626" s="952"/>
    </row>
    <row r="2627" spans="1:8" ht="20.25" customHeight="1">
      <c r="A2627" s="918">
        <v>10422</v>
      </c>
      <c r="B2627" s="907" t="s">
        <v>1763</v>
      </c>
      <c r="C2627" s="395" t="s">
        <v>87</v>
      </c>
      <c r="D2627" s="395" t="s">
        <v>2713</v>
      </c>
      <c r="E2627" s="930">
        <v>1</v>
      </c>
      <c r="F2627" s="406">
        <v>285.16000000000003</v>
      </c>
      <c r="G2627" s="396">
        <f>TRUNC(E2627*F2627,2)</f>
        <v>285.16000000000003</v>
      </c>
      <c r="H2627" s="952"/>
    </row>
    <row r="2628" spans="1:8" ht="16.5" customHeight="1">
      <c r="A2628" s="492">
        <v>37329</v>
      </c>
      <c r="B2628" s="603" t="s">
        <v>243</v>
      </c>
      <c r="C2628" s="395" t="s">
        <v>87</v>
      </c>
      <c r="D2628" s="395" t="s">
        <v>1319</v>
      </c>
      <c r="E2628" s="450">
        <v>8.8099999999999998E-2</v>
      </c>
      <c r="F2628" s="620">
        <v>57.59</v>
      </c>
      <c r="G2628" s="396">
        <f>TRUNC(E2628*F2628,2)</f>
        <v>5.07</v>
      </c>
      <c r="H2628" s="952"/>
    </row>
    <row r="2629" spans="1:8" ht="14.1" customHeight="1">
      <c r="A2629" s="952"/>
      <c r="B2629" s="952"/>
      <c r="C2629" s="952"/>
      <c r="D2629" s="952"/>
      <c r="E2629" s="952"/>
      <c r="F2629" s="436" t="s">
        <v>90</v>
      </c>
      <c r="G2629" s="619">
        <f>SUM(G2621,G2623)</f>
        <v>15.5</v>
      </c>
      <c r="H2629" s="952"/>
    </row>
    <row r="2630" spans="1:8" ht="14.1" customHeight="1">
      <c r="A2630" s="952"/>
      <c r="B2630" s="952"/>
      <c r="C2630" s="952"/>
      <c r="D2630" s="952"/>
      <c r="E2630" s="952"/>
      <c r="F2630" s="412" t="s">
        <v>92</v>
      </c>
      <c r="G2630" s="435">
        <f>SUM(G2622,G2624,G2625,G2626,G2627,G2628)</f>
        <v>328.82</v>
      </c>
      <c r="H2630" s="952"/>
    </row>
    <row r="2631" spans="1:8" ht="14.1" customHeight="1">
      <c r="A2631" s="413" t="s">
        <v>94</v>
      </c>
      <c r="B2631" s="952"/>
      <c r="C2631" s="952"/>
      <c r="D2631" s="952"/>
      <c r="E2631" s="952"/>
      <c r="F2631" s="412" t="s">
        <v>93</v>
      </c>
      <c r="G2631" s="883">
        <f>SUM(G2629:G2630)</f>
        <v>344.32</v>
      </c>
      <c r="H2631" s="952"/>
    </row>
    <row r="2632" spans="1:8" ht="14.1" customHeight="1">
      <c r="A2632" s="361" t="s">
        <v>95</v>
      </c>
      <c r="B2632" s="466">
        <f>G2631</f>
        <v>344.32</v>
      </c>
      <c r="C2632" s="952"/>
      <c r="D2632" s="952"/>
      <c r="E2632" s="952"/>
      <c r="F2632" s="132"/>
      <c r="G2632" s="132"/>
      <c r="H2632" s="952"/>
    </row>
    <row r="2633" spans="1:8" ht="14.1" customHeight="1">
      <c r="A2633" s="382" t="s">
        <v>2272</v>
      </c>
      <c r="B2633" s="381"/>
      <c r="C2633" s="952"/>
      <c r="D2633" s="952"/>
      <c r="E2633" s="952"/>
      <c r="F2633" s="132"/>
      <c r="G2633" s="132"/>
      <c r="H2633" s="952"/>
    </row>
    <row r="2634" spans="1:8" ht="14.1" customHeight="1">
      <c r="A2634" s="443" t="s">
        <v>2311</v>
      </c>
      <c r="B2634" s="381">
        <f>(B2632+B2633)*0.245</f>
        <v>84.358400000000003</v>
      </c>
      <c r="C2634" s="952"/>
      <c r="D2634" s="952"/>
      <c r="E2634" s="952"/>
      <c r="F2634" s="132"/>
      <c r="G2634" s="132"/>
      <c r="H2634" s="952"/>
    </row>
    <row r="2635" spans="1:8" ht="14.1" customHeight="1">
      <c r="A2635" s="361" t="s">
        <v>98</v>
      </c>
      <c r="B2635" s="467">
        <f>SUM(B2632:B2634)</f>
        <v>428.67840000000001</v>
      </c>
      <c r="C2635" s="952"/>
      <c r="D2635" s="952"/>
      <c r="E2635" s="952"/>
      <c r="F2635" s="132"/>
      <c r="G2635" s="132"/>
      <c r="H2635" s="408"/>
    </row>
    <row r="2636" spans="1:8">
      <c r="A2636" s="362"/>
      <c r="B2636" s="363"/>
      <c r="C2636" s="364"/>
      <c r="D2636" s="362"/>
      <c r="E2636" s="363"/>
      <c r="F2636" s="363"/>
      <c r="G2636" s="363"/>
      <c r="H2636" s="362"/>
    </row>
    <row r="2638" spans="1:8">
      <c r="A2638" s="122" t="s">
        <v>1287</v>
      </c>
    </row>
    <row r="2639" spans="1:8">
      <c r="A2639" s="390" t="s">
        <v>1508</v>
      </c>
      <c r="B2639" s="131"/>
      <c r="C2639" s="131"/>
      <c r="D2639" s="131"/>
      <c r="E2639" s="131"/>
      <c r="F2639" s="131"/>
      <c r="G2639" s="131"/>
      <c r="H2639" s="131"/>
    </row>
    <row r="2640" spans="1:8" ht="33" customHeight="1">
      <c r="A2640" s="452" t="s">
        <v>1548</v>
      </c>
      <c r="B2640" s="1136" t="s">
        <v>1698</v>
      </c>
      <c r="C2640" s="1136"/>
      <c r="D2640" s="1136"/>
      <c r="E2640" s="422" t="s">
        <v>1452</v>
      </c>
      <c r="F2640" s="131"/>
      <c r="G2640" s="131"/>
      <c r="H2640" s="131"/>
    </row>
    <row r="2641" spans="1:8" ht="20.399999999999999">
      <c r="A2641" s="309" t="s">
        <v>30</v>
      </c>
      <c r="B2641" s="354" t="s">
        <v>19</v>
      </c>
      <c r="C2641" s="293" t="s">
        <v>81</v>
      </c>
      <c r="D2641" s="294" t="s">
        <v>77</v>
      </c>
      <c r="E2641" s="294" t="s">
        <v>82</v>
      </c>
      <c r="F2641" s="295" t="s">
        <v>83</v>
      </c>
      <c r="G2641" s="355" t="s">
        <v>84</v>
      </c>
      <c r="H2641" s="131"/>
    </row>
    <row r="2642" spans="1:8" ht="15.9" customHeight="1">
      <c r="A2642" s="1145">
        <v>86887</v>
      </c>
      <c r="B2642" s="1147" t="s">
        <v>1697</v>
      </c>
      <c r="C2642" s="293" t="s">
        <v>104</v>
      </c>
      <c r="D2642" s="1143" t="s">
        <v>5</v>
      </c>
      <c r="E2642" s="1139">
        <v>1</v>
      </c>
      <c r="F2642" s="349">
        <f>G2608</f>
        <v>4.0599999999999996</v>
      </c>
      <c r="G2642" s="358">
        <f>TRUNC(E2642*F2642,2)</f>
        <v>4.0599999999999996</v>
      </c>
      <c r="H2642" s="131"/>
    </row>
    <row r="2643" spans="1:8" ht="15.9" customHeight="1">
      <c r="A2643" s="1146"/>
      <c r="B2643" s="1148"/>
      <c r="C2643" s="395" t="s">
        <v>87</v>
      </c>
      <c r="D2643" s="1144"/>
      <c r="E2643" s="1140"/>
      <c r="F2643" s="406">
        <f>G2609</f>
        <v>38.950000000000003</v>
      </c>
      <c r="G2643" s="396">
        <f>TRUNC(E2642*F2643,2)</f>
        <v>38.950000000000003</v>
      </c>
      <c r="H2643" s="131"/>
    </row>
    <row r="2644" spans="1:8" ht="15.9" customHeight="1">
      <c r="A2644" s="1145">
        <v>86888</v>
      </c>
      <c r="B2644" s="1147" t="s">
        <v>1696</v>
      </c>
      <c r="C2644" s="395" t="s">
        <v>104</v>
      </c>
      <c r="D2644" s="1143" t="s">
        <v>5</v>
      </c>
      <c r="E2644" s="1139">
        <v>1</v>
      </c>
      <c r="F2644" s="406">
        <f>G2629</f>
        <v>15.5</v>
      </c>
      <c r="G2644" s="396">
        <f>TRUNC(E2644*F2644,2)</f>
        <v>15.5</v>
      </c>
      <c r="H2644" s="131"/>
    </row>
    <row r="2645" spans="1:8" ht="15.9" customHeight="1">
      <c r="A2645" s="1176"/>
      <c r="B2645" s="1178"/>
      <c r="C2645" s="395" t="s">
        <v>87</v>
      </c>
      <c r="D2645" s="1144"/>
      <c r="E2645" s="1140"/>
      <c r="F2645" s="406">
        <f>G2630</f>
        <v>328.82</v>
      </c>
      <c r="G2645" s="396">
        <f>TRUNC(E2644*F2645,2)</f>
        <v>328.82</v>
      </c>
      <c r="H2645" s="131"/>
    </row>
    <row r="2646" spans="1:8" ht="15.9" customHeight="1">
      <c r="A2646" s="131"/>
      <c r="B2646" s="131"/>
      <c r="C2646" s="131"/>
      <c r="D2646" s="131"/>
      <c r="E2646" s="131"/>
      <c r="F2646" s="412" t="s">
        <v>90</v>
      </c>
      <c r="G2646" s="396">
        <f>G2642+G2644</f>
        <v>19.559999999999999</v>
      </c>
      <c r="H2646" s="131"/>
    </row>
    <row r="2647" spans="1:8" ht="15.9" customHeight="1">
      <c r="A2647" s="131"/>
      <c r="B2647" s="131"/>
      <c r="C2647" s="131"/>
      <c r="D2647" s="131"/>
      <c r="E2647" s="131"/>
      <c r="F2647" s="412" t="s">
        <v>92</v>
      </c>
      <c r="G2647" s="396">
        <f>G2643+G2645</f>
        <v>367.77</v>
      </c>
      <c r="H2647" s="131"/>
    </row>
    <row r="2648" spans="1:8" ht="15.9" customHeight="1">
      <c r="A2648" s="413" t="s">
        <v>94</v>
      </c>
      <c r="B2648" s="131"/>
      <c r="C2648" s="131"/>
      <c r="D2648" s="131"/>
      <c r="E2648" s="131"/>
      <c r="F2648" s="412" t="s">
        <v>93</v>
      </c>
      <c r="G2648" s="881">
        <f>SUM(G2646:G2647)</f>
        <v>387.33</v>
      </c>
      <c r="H2648" s="131"/>
    </row>
    <row r="2649" spans="1:8" ht="15.9" customHeight="1">
      <c r="A2649" s="361" t="s">
        <v>95</v>
      </c>
      <c r="B2649" s="385">
        <f>G2648</f>
        <v>387.33</v>
      </c>
      <c r="C2649" s="131"/>
      <c r="D2649" s="131"/>
      <c r="E2649" s="131"/>
      <c r="F2649" s="132"/>
      <c r="G2649" s="132"/>
      <c r="H2649" s="131"/>
    </row>
    <row r="2650" spans="1:8" ht="15.9" customHeight="1">
      <c r="A2650" s="382" t="s">
        <v>2272</v>
      </c>
      <c r="B2650" s="381"/>
      <c r="C2650" s="131"/>
      <c r="D2650" s="131"/>
      <c r="E2650" s="131"/>
      <c r="F2650" s="132"/>
      <c r="G2650" s="132"/>
      <c r="H2650" s="131"/>
    </row>
    <row r="2651" spans="1:8" ht="15.9" customHeight="1">
      <c r="A2651" s="443" t="s">
        <v>2311</v>
      </c>
      <c r="B2651" s="381">
        <f>(B2649+B2650)*0.245</f>
        <v>94.895849999999996</v>
      </c>
      <c r="C2651" s="131"/>
      <c r="D2651" s="131"/>
      <c r="E2651" s="131"/>
      <c r="F2651" s="132"/>
      <c r="G2651" s="132"/>
      <c r="H2651" s="131"/>
    </row>
    <row r="2652" spans="1:8" ht="15.9" customHeight="1">
      <c r="A2652" s="361" t="s">
        <v>98</v>
      </c>
      <c r="B2652" s="386">
        <f>SUM(B2649:B2651)</f>
        <v>482.22584999999998</v>
      </c>
      <c r="C2652" s="131"/>
      <c r="D2652" s="131"/>
      <c r="E2652" s="131"/>
      <c r="F2652" s="132"/>
      <c r="G2652" s="132"/>
      <c r="H2652" s="408"/>
    </row>
    <row r="2653" spans="1:8">
      <c r="A2653" s="362"/>
      <c r="B2653" s="363"/>
      <c r="C2653" s="364"/>
      <c r="D2653" s="362"/>
      <c r="E2653" s="363"/>
      <c r="F2653" s="363"/>
      <c r="G2653" s="363"/>
      <c r="H2653" s="362"/>
    </row>
    <row r="2655" spans="1:8">
      <c r="A2655" s="826" t="s">
        <v>2710</v>
      </c>
    </row>
    <row r="2656" spans="1:8">
      <c r="A2656" s="390" t="s">
        <v>1846</v>
      </c>
      <c r="B2656" s="390"/>
      <c r="C2656" s="390"/>
      <c r="D2656" s="390"/>
      <c r="E2656" s="390"/>
      <c r="F2656" s="390"/>
      <c r="G2656" s="390"/>
      <c r="H2656" s="390"/>
    </row>
    <row r="2657" spans="1:8" ht="40.5" customHeight="1">
      <c r="A2657" s="452" t="s">
        <v>1548</v>
      </c>
      <c r="B2657" s="1136" t="s">
        <v>1765</v>
      </c>
      <c r="C2657" s="1136"/>
      <c r="D2657" s="1136"/>
      <c r="E2657" s="411" t="s">
        <v>1452</v>
      </c>
      <c r="F2657" s="131"/>
      <c r="G2657" s="131"/>
      <c r="H2657" s="131"/>
    </row>
    <row r="2658" spans="1:8" ht="27" customHeight="1">
      <c r="A2658" s="309" t="s">
        <v>30</v>
      </c>
      <c r="B2658" s="354" t="s">
        <v>19</v>
      </c>
      <c r="C2658" s="293" t="s">
        <v>81</v>
      </c>
      <c r="D2658" s="294" t="s">
        <v>77</v>
      </c>
      <c r="E2658" s="294" t="s">
        <v>82</v>
      </c>
      <c r="F2658" s="295" t="s">
        <v>83</v>
      </c>
      <c r="G2658" s="355" t="s">
        <v>84</v>
      </c>
      <c r="H2658" s="131"/>
    </row>
    <row r="2659" spans="1:8" ht="30" customHeight="1">
      <c r="A2659" s="512">
        <v>6142</v>
      </c>
      <c r="B2659" s="536" t="s">
        <v>1766</v>
      </c>
      <c r="C2659" s="339" t="s">
        <v>87</v>
      </c>
      <c r="D2659" s="510" t="s">
        <v>381</v>
      </c>
      <c r="E2659" s="511">
        <v>1</v>
      </c>
      <c r="F2659" s="349">
        <v>6.32</v>
      </c>
      <c r="G2659" s="358">
        <f>TRUNC(E2659*F2659,2)</f>
        <v>6.32</v>
      </c>
      <c r="H2659" s="131"/>
    </row>
    <row r="2660" spans="1:8" ht="18" customHeight="1">
      <c r="A2660" s="1145">
        <v>95469</v>
      </c>
      <c r="B2660" s="1147" t="s">
        <v>1767</v>
      </c>
      <c r="C2660" s="395" t="s">
        <v>104</v>
      </c>
      <c r="D2660" s="1143" t="s">
        <v>381</v>
      </c>
      <c r="E2660" s="1139">
        <v>1</v>
      </c>
      <c r="F2660" s="406">
        <v>15.44</v>
      </c>
      <c r="G2660" s="396">
        <f>TRUNC(E2660*F2660,2)</f>
        <v>15.44</v>
      </c>
      <c r="H2660" s="131"/>
    </row>
    <row r="2661" spans="1:8" ht="18" customHeight="1">
      <c r="A2661" s="1146"/>
      <c r="B2661" s="1148"/>
      <c r="C2661" s="395" t="s">
        <v>87</v>
      </c>
      <c r="D2661" s="1144"/>
      <c r="E2661" s="1140"/>
      <c r="F2661" s="406">
        <v>145.01</v>
      </c>
      <c r="G2661" s="396">
        <f>TRUNC(E2660*F2661,2)</f>
        <v>145.01</v>
      </c>
      <c r="H2661" s="131"/>
    </row>
    <row r="2662" spans="1:8" ht="15" customHeight="1">
      <c r="A2662" s="131"/>
      <c r="B2662" s="131"/>
      <c r="C2662" s="131"/>
      <c r="D2662" s="131"/>
      <c r="E2662" s="131"/>
      <c r="F2662" s="412" t="s">
        <v>90</v>
      </c>
      <c r="G2662" s="396">
        <f>G2660</f>
        <v>15.44</v>
      </c>
      <c r="H2662" s="131"/>
    </row>
    <row r="2663" spans="1:8" ht="15" customHeight="1">
      <c r="A2663" s="131"/>
      <c r="B2663" s="131"/>
      <c r="C2663" s="131"/>
      <c r="D2663" s="131"/>
      <c r="E2663" s="131"/>
      <c r="F2663" s="412" t="s">
        <v>92</v>
      </c>
      <c r="G2663" s="396">
        <f>G2659+G2661</f>
        <v>151.32999999999998</v>
      </c>
      <c r="H2663" s="131"/>
    </row>
    <row r="2664" spans="1:8" ht="15" customHeight="1">
      <c r="A2664" s="413" t="s">
        <v>94</v>
      </c>
      <c r="B2664" s="131"/>
      <c r="C2664" s="131"/>
      <c r="D2664" s="131"/>
      <c r="E2664" s="131"/>
      <c r="F2664" s="412" t="s">
        <v>93</v>
      </c>
      <c r="G2664" s="881">
        <f>SUM(G2662:G2663)</f>
        <v>166.76999999999998</v>
      </c>
      <c r="H2664" s="131"/>
    </row>
    <row r="2665" spans="1:8" ht="15" customHeight="1">
      <c r="A2665" s="361" t="s">
        <v>95</v>
      </c>
      <c r="B2665" s="385">
        <f>G2664</f>
        <v>166.76999999999998</v>
      </c>
      <c r="C2665" s="131"/>
      <c r="D2665" s="131"/>
      <c r="E2665" s="131"/>
      <c r="F2665" s="132"/>
      <c r="G2665" s="132"/>
      <c r="H2665" s="131"/>
    </row>
    <row r="2666" spans="1:8" ht="15" customHeight="1">
      <c r="A2666" s="382" t="s">
        <v>2272</v>
      </c>
      <c r="B2666" s="381"/>
      <c r="C2666" s="131"/>
      <c r="D2666" s="131"/>
      <c r="E2666" s="131"/>
      <c r="F2666" s="132"/>
      <c r="G2666" s="132"/>
      <c r="H2666" s="131"/>
    </row>
    <row r="2667" spans="1:8" ht="15" customHeight="1">
      <c r="A2667" s="443" t="s">
        <v>2311</v>
      </c>
      <c r="B2667" s="381">
        <f>(B2665+B2666)*0.245</f>
        <v>40.858649999999997</v>
      </c>
      <c r="C2667" s="131"/>
      <c r="D2667" s="131"/>
      <c r="E2667" s="131"/>
      <c r="F2667" s="132"/>
      <c r="G2667" s="132"/>
      <c r="H2667" s="131"/>
    </row>
    <row r="2668" spans="1:8" ht="15" customHeight="1">
      <c r="A2668" s="361" t="s">
        <v>98</v>
      </c>
      <c r="B2668" s="386">
        <f>SUM(B2665:B2667)</f>
        <v>207.62864999999999</v>
      </c>
      <c r="C2668" s="131"/>
      <c r="D2668" s="131"/>
      <c r="E2668" s="131"/>
      <c r="F2668" s="132"/>
      <c r="G2668" s="132"/>
      <c r="H2668" s="408"/>
    </row>
    <row r="2669" spans="1:8">
      <c r="A2669" s="362"/>
      <c r="B2669" s="363"/>
      <c r="C2669" s="364"/>
      <c r="D2669" s="362"/>
      <c r="E2669" s="363"/>
      <c r="F2669" s="363"/>
      <c r="G2669" s="363"/>
      <c r="H2669" s="362"/>
    </row>
    <row r="2671" spans="1:8">
      <c r="A2671" s="826" t="s">
        <v>2710</v>
      </c>
    </row>
    <row r="2672" spans="1:8" ht="13.5" customHeight="1">
      <c r="A2672" s="409" t="s">
        <v>1934</v>
      </c>
      <c r="B2672" s="390"/>
      <c r="C2672" s="390"/>
      <c r="D2672" s="390"/>
      <c r="E2672" s="390"/>
      <c r="F2672" s="390"/>
      <c r="G2672" s="390"/>
      <c r="H2672" s="390"/>
    </row>
    <row r="2673" spans="1:8" ht="41.25" customHeight="1">
      <c r="A2673" s="452" t="s">
        <v>1548</v>
      </c>
      <c r="B2673" s="1136" t="s">
        <v>1849</v>
      </c>
      <c r="C2673" s="1136"/>
      <c r="D2673" s="1136"/>
      <c r="E2673" s="411" t="s">
        <v>1452</v>
      </c>
      <c r="F2673" s="131"/>
      <c r="G2673" s="131"/>
      <c r="H2673" s="131"/>
    </row>
    <row r="2674" spans="1:8" ht="20.399999999999999">
      <c r="A2674" s="309" t="s">
        <v>30</v>
      </c>
      <c r="B2674" s="354" t="s">
        <v>19</v>
      </c>
      <c r="C2674" s="293" t="s">
        <v>81</v>
      </c>
      <c r="D2674" s="294" t="s">
        <v>77</v>
      </c>
      <c r="E2674" s="294" t="s">
        <v>82</v>
      </c>
      <c r="F2674" s="295" t="s">
        <v>83</v>
      </c>
      <c r="G2674" s="355" t="s">
        <v>84</v>
      </c>
      <c r="H2674" s="131"/>
    </row>
    <row r="2675" spans="1:8" ht="26.25" customHeight="1">
      <c r="A2675" s="512">
        <v>6142</v>
      </c>
      <c r="B2675" s="536" t="s">
        <v>1766</v>
      </c>
      <c r="C2675" s="339" t="s">
        <v>87</v>
      </c>
      <c r="D2675" s="510" t="s">
        <v>381</v>
      </c>
      <c r="E2675" s="511">
        <v>1</v>
      </c>
      <c r="F2675" s="349">
        <v>6.32</v>
      </c>
      <c r="G2675" s="358">
        <f>TRUNC(E2675*F2675,2)</f>
        <v>6.32</v>
      </c>
      <c r="H2675" s="131"/>
    </row>
    <row r="2676" spans="1:8" ht="20.100000000000001" customHeight="1">
      <c r="A2676" s="1145">
        <v>95471</v>
      </c>
      <c r="B2676" s="1147" t="s">
        <v>1935</v>
      </c>
      <c r="C2676" s="395" t="s">
        <v>104</v>
      </c>
      <c r="D2676" s="1143" t="s">
        <v>381</v>
      </c>
      <c r="E2676" s="1139">
        <v>1</v>
      </c>
      <c r="F2676" s="406">
        <v>31.81</v>
      </c>
      <c r="G2676" s="396">
        <f>TRUNC(E2676*F2676,2)</f>
        <v>31.81</v>
      </c>
      <c r="H2676" s="131"/>
    </row>
    <row r="2677" spans="1:8" ht="20.100000000000001" customHeight="1">
      <c r="A2677" s="1146"/>
      <c r="B2677" s="1148"/>
      <c r="C2677" s="395" t="s">
        <v>87</v>
      </c>
      <c r="D2677" s="1144"/>
      <c r="E2677" s="1140"/>
      <c r="F2677" s="406">
        <v>570.9</v>
      </c>
      <c r="G2677" s="396">
        <f>TRUNC(E2676*F2677,2)</f>
        <v>570.9</v>
      </c>
      <c r="H2677" s="131"/>
    </row>
    <row r="2678" spans="1:8" ht="15" customHeight="1">
      <c r="A2678" s="131"/>
      <c r="B2678" s="131"/>
      <c r="C2678" s="131"/>
      <c r="D2678" s="131"/>
      <c r="E2678" s="131"/>
      <c r="F2678" s="412" t="s">
        <v>90</v>
      </c>
      <c r="G2678" s="396">
        <f>G2676</f>
        <v>31.81</v>
      </c>
      <c r="H2678" s="131"/>
    </row>
    <row r="2679" spans="1:8" ht="15" customHeight="1">
      <c r="A2679" s="131"/>
      <c r="B2679" s="131"/>
      <c r="C2679" s="131"/>
      <c r="D2679" s="131"/>
      <c r="E2679" s="131"/>
      <c r="F2679" s="412" t="s">
        <v>92</v>
      </c>
      <c r="G2679" s="396">
        <f>G2675+G2677</f>
        <v>577.22</v>
      </c>
      <c r="H2679" s="131"/>
    </row>
    <row r="2680" spans="1:8" ht="15" customHeight="1">
      <c r="A2680" s="413" t="s">
        <v>94</v>
      </c>
      <c r="B2680" s="131"/>
      <c r="C2680" s="131"/>
      <c r="D2680" s="131"/>
      <c r="E2680" s="131"/>
      <c r="F2680" s="412" t="s">
        <v>93</v>
      </c>
      <c r="G2680" s="881">
        <f>SUM(G2678:G2679)</f>
        <v>609.03</v>
      </c>
      <c r="H2680" s="131"/>
    </row>
    <row r="2681" spans="1:8" ht="15" customHeight="1">
      <c r="A2681" s="361" t="s">
        <v>95</v>
      </c>
      <c r="B2681" s="385">
        <f>G2680</f>
        <v>609.03</v>
      </c>
      <c r="C2681" s="131"/>
      <c r="D2681" s="131"/>
      <c r="E2681" s="131"/>
      <c r="F2681" s="132"/>
      <c r="G2681" s="132"/>
      <c r="H2681" s="131"/>
    </row>
    <row r="2682" spans="1:8" ht="15" customHeight="1">
      <c r="A2682" s="382" t="s">
        <v>2272</v>
      </c>
      <c r="B2682" s="381"/>
      <c r="C2682" s="131"/>
      <c r="D2682" s="131"/>
      <c r="E2682" s="131"/>
      <c r="F2682" s="132"/>
      <c r="G2682" s="132"/>
      <c r="H2682" s="131"/>
    </row>
    <row r="2683" spans="1:8" ht="15" customHeight="1">
      <c r="A2683" s="443" t="s">
        <v>2311</v>
      </c>
      <c r="B2683" s="381">
        <f>(B2681+B2682)*0.245</f>
        <v>149.21234999999999</v>
      </c>
      <c r="C2683" s="131"/>
      <c r="D2683" s="131"/>
      <c r="E2683" s="131"/>
      <c r="F2683" s="132"/>
      <c r="G2683" s="132"/>
      <c r="H2683" s="131"/>
    </row>
    <row r="2684" spans="1:8" ht="15" customHeight="1">
      <c r="A2684" s="361" t="s">
        <v>98</v>
      </c>
      <c r="B2684" s="386">
        <f>SUM(B2681:B2683)</f>
        <v>758.24234999999999</v>
      </c>
      <c r="C2684" s="131"/>
      <c r="D2684" s="131"/>
      <c r="E2684" s="131"/>
      <c r="F2684" s="132"/>
      <c r="G2684" s="132"/>
      <c r="H2684" s="408"/>
    </row>
    <row r="2685" spans="1:8">
      <c r="A2685" s="362"/>
      <c r="B2685" s="363"/>
      <c r="C2685" s="364"/>
      <c r="D2685" s="362"/>
      <c r="E2685" s="363"/>
      <c r="F2685" s="363"/>
      <c r="G2685" s="363"/>
      <c r="H2685" s="362"/>
    </row>
    <row r="2687" spans="1:8">
      <c r="A2687" s="122" t="s">
        <v>1287</v>
      </c>
    </row>
    <row r="2688" spans="1:8">
      <c r="A2688" s="973" t="s">
        <v>2703</v>
      </c>
      <c r="B2688" s="390"/>
      <c r="C2688" s="390"/>
      <c r="D2688" s="390"/>
      <c r="E2688" s="390"/>
      <c r="F2688" s="390"/>
      <c r="G2688" s="390"/>
      <c r="H2688" s="390"/>
    </row>
    <row r="2689" spans="1:11" ht="24.75" customHeight="1">
      <c r="A2689" s="452" t="s">
        <v>1548</v>
      </c>
      <c r="B2689" s="452" t="s">
        <v>2697</v>
      </c>
      <c r="C2689" s="440" t="s">
        <v>1452</v>
      </c>
      <c r="D2689" s="452"/>
      <c r="E2689" s="122"/>
      <c r="F2689" s="131"/>
      <c r="G2689" s="131"/>
      <c r="H2689" s="131"/>
    </row>
    <row r="2690" spans="1:11" ht="20.399999999999999">
      <c r="A2690" s="309" t="s">
        <v>30</v>
      </c>
      <c r="B2690" s="354" t="s">
        <v>19</v>
      </c>
      <c r="C2690" s="293" t="s">
        <v>81</v>
      </c>
      <c r="D2690" s="294" t="s">
        <v>77</v>
      </c>
      <c r="E2690" s="294" t="s">
        <v>82</v>
      </c>
      <c r="F2690" s="295" t="s">
        <v>83</v>
      </c>
      <c r="G2690" s="355" t="s">
        <v>84</v>
      </c>
      <c r="H2690" s="131"/>
      <c r="J2690" s="772" t="s">
        <v>2692</v>
      </c>
      <c r="K2690" s="772" t="s">
        <v>2693</v>
      </c>
    </row>
    <row r="2691" spans="1:11" ht="20.399999999999999">
      <c r="A2691" s="512" t="s">
        <v>79</v>
      </c>
      <c r="B2691" s="536" t="s">
        <v>2698</v>
      </c>
      <c r="C2691" s="339" t="s">
        <v>87</v>
      </c>
      <c r="D2691" s="510" t="s">
        <v>381</v>
      </c>
      <c r="E2691" s="511">
        <v>1</v>
      </c>
      <c r="F2691" s="349">
        <f>(J2691+K2691)/2</f>
        <v>482.77</v>
      </c>
      <c r="G2691" s="358">
        <f>TRUNC(E2691*F2691,2)</f>
        <v>482.77</v>
      </c>
      <c r="H2691" s="131"/>
      <c r="J2691" s="645">
        <v>649.9</v>
      </c>
      <c r="K2691" s="289">
        <v>315.64</v>
      </c>
    </row>
    <row r="2692" spans="1:11" ht="11.25" customHeight="1">
      <c r="A2692" s="1145">
        <v>88316</v>
      </c>
      <c r="B2692" s="1147" t="s">
        <v>2691</v>
      </c>
      <c r="C2692" s="395" t="s">
        <v>104</v>
      </c>
      <c r="D2692" s="1143" t="s">
        <v>381</v>
      </c>
      <c r="E2692" s="1139">
        <v>0.17</v>
      </c>
      <c r="F2692" s="810">
        <f>'COMP AUX'!G104</f>
        <v>11.18</v>
      </c>
      <c r="G2692" s="396">
        <f>TRUNC(E2692*F2692,2)</f>
        <v>1.9</v>
      </c>
      <c r="H2692" s="131"/>
      <c r="J2692" s="289" t="s">
        <v>2695</v>
      </c>
      <c r="K2692" s="289" t="s">
        <v>2696</v>
      </c>
    </row>
    <row r="2693" spans="1:11">
      <c r="A2693" s="1146"/>
      <c r="B2693" s="1148"/>
      <c r="C2693" s="395" t="s">
        <v>87</v>
      </c>
      <c r="D2693" s="1144"/>
      <c r="E2693" s="1140"/>
      <c r="F2693" s="810">
        <f>'COMP AUX'!G105</f>
        <v>4.7300000000000004</v>
      </c>
      <c r="G2693" s="396">
        <f>TRUNC(E2692*F2693,2)</f>
        <v>0.8</v>
      </c>
      <c r="H2693" s="131"/>
    </row>
    <row r="2694" spans="1:11">
      <c r="A2694" s="131"/>
      <c r="B2694" s="131"/>
      <c r="C2694" s="131"/>
      <c r="D2694" s="131"/>
      <c r="E2694" s="131"/>
      <c r="F2694" s="412" t="s">
        <v>90</v>
      </c>
      <c r="G2694" s="396">
        <f>G2692</f>
        <v>1.9</v>
      </c>
      <c r="H2694" s="131"/>
    </row>
    <row r="2695" spans="1:11">
      <c r="A2695" s="131"/>
      <c r="B2695" s="131"/>
      <c r="C2695" s="131"/>
      <c r="D2695" s="131"/>
      <c r="E2695" s="131"/>
      <c r="F2695" s="412" t="s">
        <v>92</v>
      </c>
      <c r="G2695" s="396">
        <f>G2691+G2693</f>
        <v>483.57</v>
      </c>
      <c r="H2695" s="131"/>
    </row>
    <row r="2696" spans="1:11">
      <c r="A2696" s="413" t="s">
        <v>94</v>
      </c>
      <c r="B2696" s="131"/>
      <c r="C2696" s="131"/>
      <c r="D2696" s="131"/>
      <c r="E2696" s="131"/>
      <c r="F2696" s="412" t="s">
        <v>93</v>
      </c>
      <c r="G2696" s="881">
        <f>SUM(G2694:G2695)</f>
        <v>485.46999999999997</v>
      </c>
      <c r="H2696" s="131"/>
    </row>
    <row r="2697" spans="1:11">
      <c r="A2697" s="361" t="s">
        <v>95</v>
      </c>
      <c r="B2697" s="385">
        <f>G2696</f>
        <v>485.46999999999997</v>
      </c>
      <c r="C2697" s="131"/>
      <c r="D2697" s="131"/>
      <c r="E2697" s="131"/>
      <c r="F2697" s="132"/>
      <c r="G2697" s="132"/>
      <c r="H2697" s="131"/>
    </row>
    <row r="2698" spans="1:11">
      <c r="A2698" s="382" t="s">
        <v>2272</v>
      </c>
      <c r="B2698" s="381"/>
      <c r="C2698" s="131"/>
      <c r="D2698" s="131"/>
      <c r="E2698" s="131"/>
      <c r="F2698" s="132"/>
      <c r="G2698" s="132"/>
      <c r="H2698" s="131"/>
    </row>
    <row r="2699" spans="1:11">
      <c r="A2699" s="443" t="s">
        <v>2311</v>
      </c>
      <c r="B2699" s="381">
        <f>(B2697+B2698)*0.245</f>
        <v>118.94014999999999</v>
      </c>
      <c r="C2699" s="131"/>
      <c r="D2699" s="131"/>
      <c r="E2699" s="131"/>
      <c r="F2699" s="132"/>
      <c r="G2699" s="132"/>
      <c r="H2699" s="131"/>
    </row>
    <row r="2700" spans="1:11">
      <c r="A2700" s="361" t="s">
        <v>98</v>
      </c>
      <c r="B2700" s="386">
        <f>SUM(B2697:B2699)</f>
        <v>604.41014999999993</v>
      </c>
      <c r="C2700" s="131"/>
      <c r="D2700" s="131"/>
      <c r="E2700" s="131"/>
      <c r="F2700" s="132"/>
      <c r="G2700" s="132"/>
      <c r="H2700" s="408"/>
    </row>
    <row r="2701" spans="1:11">
      <c r="A2701" s="362"/>
      <c r="B2701" s="363"/>
      <c r="C2701" s="364"/>
      <c r="D2701" s="362"/>
      <c r="E2701" s="363"/>
      <c r="F2701" s="363"/>
      <c r="G2701" s="363"/>
      <c r="H2701" s="362"/>
    </row>
    <row r="2703" spans="1:11">
      <c r="A2703" s="122" t="s">
        <v>1287</v>
      </c>
    </row>
    <row r="2704" spans="1:11">
      <c r="A2704" s="973" t="s">
        <v>2704</v>
      </c>
      <c r="B2704" s="390"/>
      <c r="C2704" s="390"/>
      <c r="D2704" s="390"/>
      <c r="E2704" s="390"/>
      <c r="F2704" s="390"/>
      <c r="G2704" s="390"/>
      <c r="H2704" s="390"/>
    </row>
    <row r="2705" spans="1:11" ht="23.25" customHeight="1">
      <c r="A2705" s="452" t="s">
        <v>1548</v>
      </c>
      <c r="B2705" s="452" t="s">
        <v>2699</v>
      </c>
      <c r="C2705" s="440" t="s">
        <v>1452</v>
      </c>
      <c r="D2705" s="452"/>
      <c r="E2705" s="122"/>
      <c r="F2705" s="131"/>
      <c r="G2705" s="131"/>
      <c r="H2705" s="131"/>
    </row>
    <row r="2706" spans="1:11" ht="20.399999999999999">
      <c r="A2706" s="309" t="s">
        <v>30</v>
      </c>
      <c r="B2706" s="354" t="s">
        <v>19</v>
      </c>
      <c r="C2706" s="293" t="s">
        <v>81</v>
      </c>
      <c r="D2706" s="294" t="s">
        <v>77</v>
      </c>
      <c r="E2706" s="294" t="s">
        <v>82</v>
      </c>
      <c r="F2706" s="295" t="s">
        <v>83</v>
      </c>
      <c r="G2706" s="355" t="s">
        <v>84</v>
      </c>
      <c r="H2706" s="131"/>
      <c r="J2706" s="772" t="s">
        <v>2692</v>
      </c>
      <c r="K2706" s="772" t="s">
        <v>2693</v>
      </c>
    </row>
    <row r="2707" spans="1:11" ht="14.1" customHeight="1">
      <c r="A2707" s="512" t="s">
        <v>79</v>
      </c>
      <c r="B2707" s="536" t="s">
        <v>2694</v>
      </c>
      <c r="C2707" s="339" t="s">
        <v>87</v>
      </c>
      <c r="D2707" s="510" t="s">
        <v>381</v>
      </c>
      <c r="E2707" s="511">
        <v>1</v>
      </c>
      <c r="F2707" s="349">
        <f>(J2707+K2707)/2</f>
        <v>43.17</v>
      </c>
      <c r="G2707" s="358">
        <f>TRUNC(E2707*F2707,2)</f>
        <v>43.17</v>
      </c>
      <c r="H2707" s="131"/>
      <c r="J2707" s="645">
        <v>54.9</v>
      </c>
      <c r="K2707" s="289">
        <v>31.44</v>
      </c>
    </row>
    <row r="2708" spans="1:11" ht="14.1" customHeight="1">
      <c r="A2708" s="1145">
        <v>88316</v>
      </c>
      <c r="B2708" s="1147" t="s">
        <v>2691</v>
      </c>
      <c r="C2708" s="395" t="s">
        <v>104</v>
      </c>
      <c r="D2708" s="1143" t="s">
        <v>381</v>
      </c>
      <c r="E2708" s="1139">
        <v>0.17</v>
      </c>
      <c r="F2708" s="810">
        <f>'COMP AUX'!G104</f>
        <v>11.18</v>
      </c>
      <c r="G2708" s="396">
        <f>TRUNC(E2708*F2708,2)</f>
        <v>1.9</v>
      </c>
      <c r="H2708" s="131"/>
      <c r="J2708" s="289" t="s">
        <v>2695</v>
      </c>
      <c r="K2708" s="289" t="s">
        <v>2696</v>
      </c>
    </row>
    <row r="2709" spans="1:11" ht="14.1" customHeight="1">
      <c r="A2709" s="1146"/>
      <c r="B2709" s="1148"/>
      <c r="C2709" s="395" t="s">
        <v>87</v>
      </c>
      <c r="D2709" s="1144"/>
      <c r="E2709" s="1140"/>
      <c r="F2709" s="810">
        <f>'COMP AUX'!G105</f>
        <v>4.7300000000000004</v>
      </c>
      <c r="G2709" s="396">
        <f>TRUNC(E2708*F2709,2)</f>
        <v>0.8</v>
      </c>
      <c r="H2709" s="131"/>
    </row>
    <row r="2710" spans="1:11" ht="14.1" customHeight="1">
      <c r="A2710" s="131"/>
      <c r="B2710" s="131"/>
      <c r="C2710" s="131"/>
      <c r="D2710" s="131"/>
      <c r="E2710" s="131"/>
      <c r="F2710" s="412" t="s">
        <v>90</v>
      </c>
      <c r="G2710" s="396">
        <f>G2708</f>
        <v>1.9</v>
      </c>
      <c r="H2710" s="131"/>
    </row>
    <row r="2711" spans="1:11" ht="14.1" customHeight="1">
      <c r="A2711" s="131"/>
      <c r="B2711" s="131"/>
      <c r="C2711" s="131"/>
      <c r="D2711" s="131"/>
      <c r="E2711" s="131"/>
      <c r="F2711" s="412" t="s">
        <v>92</v>
      </c>
      <c r="G2711" s="396">
        <f>G2707+G2709</f>
        <v>43.97</v>
      </c>
      <c r="H2711" s="131"/>
    </row>
    <row r="2712" spans="1:11" ht="14.1" customHeight="1">
      <c r="A2712" s="413" t="s">
        <v>94</v>
      </c>
      <c r="B2712" s="131"/>
      <c r="C2712" s="131"/>
      <c r="D2712" s="131"/>
      <c r="E2712" s="131"/>
      <c r="F2712" s="412" t="s">
        <v>93</v>
      </c>
      <c r="G2712" s="881">
        <f>SUM(G2710:G2711)</f>
        <v>45.87</v>
      </c>
      <c r="H2712" s="131"/>
    </row>
    <row r="2713" spans="1:11" ht="14.1" customHeight="1">
      <c r="A2713" s="361" t="s">
        <v>95</v>
      </c>
      <c r="B2713" s="385">
        <f>G2712</f>
        <v>45.87</v>
      </c>
      <c r="C2713" s="131"/>
      <c r="D2713" s="131"/>
      <c r="E2713" s="131"/>
      <c r="F2713" s="132"/>
      <c r="G2713" s="132"/>
      <c r="H2713" s="131"/>
    </row>
    <row r="2714" spans="1:11" ht="14.1" customHeight="1">
      <c r="A2714" s="382" t="s">
        <v>2272</v>
      </c>
      <c r="B2714" s="381"/>
      <c r="C2714" s="131"/>
      <c r="D2714" s="131"/>
      <c r="E2714" s="131"/>
      <c r="F2714" s="132"/>
      <c r="G2714" s="132"/>
      <c r="H2714" s="131"/>
    </row>
    <row r="2715" spans="1:11" ht="14.1" customHeight="1">
      <c r="A2715" s="443" t="s">
        <v>2311</v>
      </c>
      <c r="B2715" s="381">
        <f>(B2713+B2714)*0.245</f>
        <v>11.238149999999999</v>
      </c>
      <c r="C2715" s="131"/>
      <c r="D2715" s="131"/>
      <c r="E2715" s="131"/>
      <c r="F2715" s="132"/>
      <c r="G2715" s="132"/>
      <c r="H2715" s="131"/>
    </row>
    <row r="2716" spans="1:11" ht="14.1" customHeight="1">
      <c r="A2716" s="361" t="s">
        <v>98</v>
      </c>
      <c r="B2716" s="386">
        <f>SUM(B2713:B2715)</f>
        <v>57.108149999999995</v>
      </c>
      <c r="C2716" s="131"/>
      <c r="D2716" s="131"/>
      <c r="E2716" s="131"/>
      <c r="F2716" s="132"/>
      <c r="G2716" s="132"/>
      <c r="H2716" s="408"/>
    </row>
    <row r="2717" spans="1:11">
      <c r="A2717" s="362"/>
      <c r="B2717" s="363"/>
      <c r="C2717" s="364"/>
      <c r="D2717" s="362"/>
      <c r="E2717" s="363"/>
      <c r="F2717" s="363"/>
      <c r="G2717" s="363"/>
      <c r="H2717" s="362"/>
    </row>
    <row r="2719" spans="1:11">
      <c r="A2719" s="122" t="s">
        <v>2710</v>
      </c>
    </row>
    <row r="2720" spans="1:11">
      <c r="A2720" s="951" t="s">
        <v>2915</v>
      </c>
      <c r="B2720" s="952"/>
      <c r="C2720" s="952"/>
      <c r="D2720" s="952"/>
      <c r="E2720" s="952"/>
      <c r="F2720" s="952"/>
      <c r="G2720" s="952"/>
      <c r="H2720" s="952"/>
    </row>
    <row r="2721" spans="1:8" ht="36" customHeight="1">
      <c r="A2721" s="452" t="s">
        <v>1548</v>
      </c>
      <c r="B2721" s="1136" t="s">
        <v>2916</v>
      </c>
      <c r="C2721" s="1136"/>
      <c r="D2721" s="1136"/>
      <c r="E2721" s="411" t="s">
        <v>1452</v>
      </c>
      <c r="F2721" s="952"/>
      <c r="G2721" s="952"/>
      <c r="H2721" s="952"/>
    </row>
    <row r="2722" spans="1:8" ht="20.399999999999999">
      <c r="A2722" s="945" t="s">
        <v>30</v>
      </c>
      <c r="B2722" s="354" t="s">
        <v>19</v>
      </c>
      <c r="C2722" s="293" t="s">
        <v>81</v>
      </c>
      <c r="D2722" s="908" t="s">
        <v>77</v>
      </c>
      <c r="E2722" s="908" t="s">
        <v>82</v>
      </c>
      <c r="F2722" s="909" t="s">
        <v>83</v>
      </c>
      <c r="G2722" s="355" t="s">
        <v>84</v>
      </c>
      <c r="H2722" s="952"/>
    </row>
    <row r="2723" spans="1:8" ht="14.1" customHeight="1">
      <c r="A2723" s="1145">
        <v>88248</v>
      </c>
      <c r="B2723" s="1147" t="s">
        <v>307</v>
      </c>
      <c r="C2723" s="395" t="s">
        <v>104</v>
      </c>
      <c r="D2723" s="1143" t="s">
        <v>383</v>
      </c>
      <c r="E2723" s="1137">
        <v>3.2</v>
      </c>
      <c r="F2723" s="406">
        <f>'COMP AUX'!G321</f>
        <v>10.98</v>
      </c>
      <c r="G2723" s="396">
        <f>TRUNC(E2723*F2723,2)</f>
        <v>35.130000000000003</v>
      </c>
      <c r="H2723" s="952"/>
    </row>
    <row r="2724" spans="1:8" ht="14.1" customHeight="1">
      <c r="A2724" s="1146"/>
      <c r="B2724" s="1148"/>
      <c r="C2724" s="395" t="s">
        <v>87</v>
      </c>
      <c r="D2724" s="1144"/>
      <c r="E2724" s="1138"/>
      <c r="F2724" s="406">
        <f>'COMP AUX'!G322</f>
        <v>4.4000000000000004</v>
      </c>
      <c r="G2724" s="396">
        <f>TRUNC(E2723*F2724,2)</f>
        <v>14.08</v>
      </c>
      <c r="H2724" s="952"/>
    </row>
    <row r="2725" spans="1:8" ht="14.1" customHeight="1">
      <c r="A2725" s="1141">
        <v>88267</v>
      </c>
      <c r="B2725" s="1129" t="s">
        <v>2910</v>
      </c>
      <c r="C2725" s="293" t="s">
        <v>104</v>
      </c>
      <c r="D2725" s="1143" t="s">
        <v>383</v>
      </c>
      <c r="E2725" s="1137">
        <v>3.2</v>
      </c>
      <c r="F2725" s="349">
        <f>'COMP AUX'!G338</f>
        <v>15.5</v>
      </c>
      <c r="G2725" s="396">
        <f>TRUNC(E2725*F2725,2)</f>
        <v>49.6</v>
      </c>
      <c r="H2725" s="952"/>
    </row>
    <row r="2726" spans="1:8" ht="14.1" customHeight="1">
      <c r="A2726" s="1142"/>
      <c r="B2726" s="1130"/>
      <c r="C2726" s="395" t="s">
        <v>87</v>
      </c>
      <c r="D2726" s="1144"/>
      <c r="E2726" s="1138"/>
      <c r="F2726" s="406">
        <f>'COMP AUX'!G339</f>
        <v>4.4000000000000004</v>
      </c>
      <c r="G2726" s="396">
        <f>TRUNC(E2725*F2726,2)</f>
        <v>14.08</v>
      </c>
      <c r="H2726" s="952"/>
    </row>
    <row r="2727" spans="1:8" ht="31.5" customHeight="1">
      <c r="A2727" s="918">
        <v>3146</v>
      </c>
      <c r="B2727" s="907" t="s">
        <v>266</v>
      </c>
      <c r="C2727" s="395" t="s">
        <v>87</v>
      </c>
      <c r="D2727" s="395" t="s">
        <v>2713</v>
      </c>
      <c r="E2727" s="946">
        <v>7.5999999999999998E-2</v>
      </c>
      <c r="F2727" s="406">
        <v>4</v>
      </c>
      <c r="G2727" s="396">
        <f>TRUNC(E2727*F2727,2)</f>
        <v>0.3</v>
      </c>
      <c r="H2727" s="952"/>
    </row>
    <row r="2728" spans="1:8" ht="32.25" customHeight="1">
      <c r="A2728" s="918">
        <v>4351</v>
      </c>
      <c r="B2728" s="907" t="s">
        <v>2305</v>
      </c>
      <c r="C2728" s="395" t="s">
        <v>87</v>
      </c>
      <c r="D2728" s="395" t="s">
        <v>2713</v>
      </c>
      <c r="E2728" s="946">
        <v>2</v>
      </c>
      <c r="F2728" s="406">
        <v>11.55</v>
      </c>
      <c r="G2728" s="396">
        <f>TRUNC(E2728*F2728,2)</f>
        <v>23.1</v>
      </c>
      <c r="H2728" s="952"/>
    </row>
    <row r="2729" spans="1:8" ht="26.25" customHeight="1">
      <c r="A2729" s="918">
        <v>6021</v>
      </c>
      <c r="B2729" s="907" t="s">
        <v>2917</v>
      </c>
      <c r="C2729" s="395" t="s">
        <v>87</v>
      </c>
      <c r="D2729" s="395" t="s">
        <v>2713</v>
      </c>
      <c r="E2729" s="930">
        <v>1</v>
      </c>
      <c r="F2729" s="406">
        <v>51.91</v>
      </c>
      <c r="G2729" s="396">
        <f>TRUNC(E2729*F2729,2)</f>
        <v>51.91</v>
      </c>
      <c r="H2729" s="952"/>
    </row>
    <row r="2730" spans="1:8" ht="20.25" customHeight="1">
      <c r="A2730" s="918">
        <v>10432</v>
      </c>
      <c r="B2730" s="907" t="s">
        <v>2918</v>
      </c>
      <c r="C2730" s="395" t="s">
        <v>87</v>
      </c>
      <c r="D2730" s="395" t="s">
        <v>2713</v>
      </c>
      <c r="E2730" s="930">
        <v>1</v>
      </c>
      <c r="F2730" s="406">
        <v>225.06</v>
      </c>
      <c r="G2730" s="396">
        <f>TRUNC(E2730*F2730,2)</f>
        <v>225.06</v>
      </c>
      <c r="H2730" s="952"/>
    </row>
    <row r="2731" spans="1:8" ht="16.5" customHeight="1">
      <c r="A2731" s="492">
        <v>37329</v>
      </c>
      <c r="B2731" s="603" t="s">
        <v>2919</v>
      </c>
      <c r="C2731" s="395" t="s">
        <v>87</v>
      </c>
      <c r="D2731" s="395" t="s">
        <v>2713</v>
      </c>
      <c r="E2731" s="450">
        <v>1</v>
      </c>
      <c r="F2731" s="620">
        <v>33.35</v>
      </c>
      <c r="G2731" s="396">
        <f>TRUNC(E2731*F2731,2)</f>
        <v>33.35</v>
      </c>
      <c r="H2731" s="952"/>
    </row>
    <row r="2732" spans="1:8" ht="14.1" customHeight="1">
      <c r="A2732" s="952"/>
      <c r="B2732" s="952"/>
      <c r="C2732" s="952"/>
      <c r="D2732" s="952"/>
      <c r="E2732" s="952"/>
      <c r="F2732" s="436" t="s">
        <v>90</v>
      </c>
      <c r="G2732" s="619">
        <f>SUM(G2723,G2725)</f>
        <v>84.73</v>
      </c>
      <c r="H2732" s="952"/>
    </row>
    <row r="2733" spans="1:8" ht="14.1" customHeight="1">
      <c r="A2733" s="952"/>
      <c r="B2733" s="952"/>
      <c r="C2733" s="952"/>
      <c r="D2733" s="952"/>
      <c r="E2733" s="952"/>
      <c r="F2733" s="412" t="s">
        <v>92</v>
      </c>
      <c r="G2733" s="435">
        <f>SUM(G2724,G2726,G2727,G2728,G2729,G2730,G2731)</f>
        <v>361.88</v>
      </c>
      <c r="H2733" s="952"/>
    </row>
    <row r="2734" spans="1:8" ht="14.1" customHeight="1">
      <c r="A2734" s="413" t="s">
        <v>94</v>
      </c>
      <c r="B2734" s="952"/>
      <c r="C2734" s="952"/>
      <c r="D2734" s="952"/>
      <c r="E2734" s="952"/>
      <c r="F2734" s="412" t="s">
        <v>93</v>
      </c>
      <c r="G2734" s="883">
        <f>SUM(G2732:G2733)</f>
        <v>446.61</v>
      </c>
      <c r="H2734" s="952"/>
    </row>
    <row r="2735" spans="1:8" ht="14.1" customHeight="1">
      <c r="A2735" s="361" t="s">
        <v>95</v>
      </c>
      <c r="B2735" s="466">
        <f>G2734</f>
        <v>446.61</v>
      </c>
      <c r="C2735" s="952"/>
      <c r="D2735" s="952"/>
      <c r="E2735" s="952"/>
      <c r="F2735" s="132"/>
      <c r="G2735" s="132"/>
      <c r="H2735" s="952"/>
    </row>
    <row r="2736" spans="1:8" ht="14.1" customHeight="1">
      <c r="A2736" s="382" t="s">
        <v>2272</v>
      </c>
      <c r="B2736" s="381"/>
      <c r="C2736" s="952"/>
      <c r="D2736" s="952"/>
      <c r="E2736" s="952"/>
      <c r="F2736" s="132"/>
      <c r="G2736" s="132"/>
      <c r="H2736" s="952"/>
    </row>
    <row r="2737" spans="1:8" ht="14.1" customHeight="1">
      <c r="A2737" s="443" t="s">
        <v>2311</v>
      </c>
      <c r="B2737" s="381">
        <f>(B2735+B2736)*0.245</f>
        <v>109.41945</v>
      </c>
      <c r="C2737" s="952"/>
      <c r="D2737" s="952"/>
      <c r="E2737" s="952"/>
      <c r="F2737" s="132"/>
      <c r="G2737" s="132"/>
      <c r="H2737" s="952"/>
    </row>
    <row r="2738" spans="1:8" ht="14.1" customHeight="1">
      <c r="A2738" s="361" t="s">
        <v>98</v>
      </c>
      <c r="B2738" s="467">
        <f>SUM(B2735:B2737)</f>
        <v>556.02945</v>
      </c>
      <c r="C2738" s="952"/>
      <c r="D2738" s="952"/>
      <c r="E2738" s="952"/>
      <c r="F2738" s="132"/>
      <c r="G2738" s="132"/>
      <c r="H2738" s="408"/>
    </row>
    <row r="2739" spans="1:8">
      <c r="A2739" s="362"/>
      <c r="B2739" s="363"/>
      <c r="C2739" s="364"/>
      <c r="D2739" s="362"/>
      <c r="E2739" s="363"/>
      <c r="F2739" s="363"/>
      <c r="G2739" s="363"/>
      <c r="H2739" s="362"/>
    </row>
    <row r="2741" spans="1:8">
      <c r="A2741" s="122" t="s">
        <v>1287</v>
      </c>
    </row>
    <row r="2742" spans="1:8">
      <c r="A2742" s="951" t="s">
        <v>1508</v>
      </c>
      <c r="B2742" s="952"/>
      <c r="C2742" s="952"/>
      <c r="D2742" s="952"/>
      <c r="E2742" s="952"/>
      <c r="F2742" s="952"/>
      <c r="G2742" s="952"/>
      <c r="H2742" s="952"/>
    </row>
    <row r="2743" spans="1:8" ht="33" customHeight="1">
      <c r="A2743" s="452" t="s">
        <v>1548</v>
      </c>
      <c r="B2743" s="1136" t="s">
        <v>1698</v>
      </c>
      <c r="C2743" s="1136"/>
      <c r="D2743" s="1136"/>
      <c r="E2743" s="422" t="s">
        <v>1452</v>
      </c>
      <c r="F2743" s="952"/>
      <c r="G2743" s="952"/>
      <c r="H2743" s="952"/>
    </row>
    <row r="2744" spans="1:8" ht="20.399999999999999">
      <c r="A2744" s="945" t="s">
        <v>30</v>
      </c>
      <c r="B2744" s="354" t="s">
        <v>19</v>
      </c>
      <c r="C2744" s="293" t="s">
        <v>81</v>
      </c>
      <c r="D2744" s="908" t="s">
        <v>77</v>
      </c>
      <c r="E2744" s="908" t="s">
        <v>82</v>
      </c>
      <c r="F2744" s="909" t="s">
        <v>83</v>
      </c>
      <c r="G2744" s="355" t="s">
        <v>84</v>
      </c>
      <c r="H2744" s="952"/>
    </row>
    <row r="2745" spans="1:8" ht="15.9" customHeight="1">
      <c r="A2745" s="1145">
        <v>86887</v>
      </c>
      <c r="B2745" s="1147" t="s">
        <v>1697</v>
      </c>
      <c r="C2745" s="293" t="s">
        <v>104</v>
      </c>
      <c r="D2745" s="1143" t="s">
        <v>5</v>
      </c>
      <c r="E2745" s="1139">
        <v>1</v>
      </c>
      <c r="F2745" s="349">
        <f>G2710</f>
        <v>1.9</v>
      </c>
      <c r="G2745" s="358">
        <f>TRUNC(E2745*F2745,2)</f>
        <v>1.9</v>
      </c>
      <c r="H2745" s="952"/>
    </row>
    <row r="2746" spans="1:8" ht="15.9" customHeight="1">
      <c r="A2746" s="1146"/>
      <c r="B2746" s="1148"/>
      <c r="C2746" s="395" t="s">
        <v>87</v>
      </c>
      <c r="D2746" s="1144"/>
      <c r="E2746" s="1140"/>
      <c r="F2746" s="406">
        <f>G2711</f>
        <v>43.97</v>
      </c>
      <c r="G2746" s="396">
        <f>TRUNC(E2745*F2746,2)</f>
        <v>43.97</v>
      </c>
      <c r="H2746" s="952"/>
    </row>
    <row r="2747" spans="1:8" ht="15.9" customHeight="1">
      <c r="A2747" s="1145">
        <v>86888</v>
      </c>
      <c r="B2747" s="1147" t="s">
        <v>1696</v>
      </c>
      <c r="C2747" s="395" t="s">
        <v>104</v>
      </c>
      <c r="D2747" s="1143" t="s">
        <v>5</v>
      </c>
      <c r="E2747" s="1139">
        <v>1</v>
      </c>
      <c r="F2747" s="406">
        <f>G2732</f>
        <v>84.73</v>
      </c>
      <c r="G2747" s="396">
        <f>TRUNC(E2747*F2747,2)</f>
        <v>84.73</v>
      </c>
      <c r="H2747" s="952"/>
    </row>
    <row r="2748" spans="1:8" ht="15.9" customHeight="1">
      <c r="A2748" s="1176"/>
      <c r="B2748" s="1178"/>
      <c r="C2748" s="395" t="s">
        <v>87</v>
      </c>
      <c r="D2748" s="1144"/>
      <c r="E2748" s="1140"/>
      <c r="F2748" s="406">
        <f>G2733</f>
        <v>361.88</v>
      </c>
      <c r="G2748" s="396">
        <f>TRUNC(E2747*F2748,2)</f>
        <v>361.88</v>
      </c>
      <c r="H2748" s="952"/>
    </row>
    <row r="2749" spans="1:8" ht="15.9" customHeight="1">
      <c r="A2749" s="952"/>
      <c r="B2749" s="952"/>
      <c r="C2749" s="952"/>
      <c r="D2749" s="952"/>
      <c r="E2749" s="952"/>
      <c r="F2749" s="412" t="s">
        <v>90</v>
      </c>
      <c r="G2749" s="396">
        <f>G2745+G2747</f>
        <v>86.63000000000001</v>
      </c>
      <c r="H2749" s="952"/>
    </row>
    <row r="2750" spans="1:8" ht="15.9" customHeight="1">
      <c r="A2750" s="952"/>
      <c r="B2750" s="952"/>
      <c r="C2750" s="952"/>
      <c r="D2750" s="952"/>
      <c r="E2750" s="952"/>
      <c r="F2750" s="412" t="s">
        <v>92</v>
      </c>
      <c r="G2750" s="396">
        <f>G2746+G2748</f>
        <v>405.85</v>
      </c>
      <c r="H2750" s="952"/>
    </row>
    <row r="2751" spans="1:8" ht="15.9" customHeight="1">
      <c r="A2751" s="413" t="s">
        <v>94</v>
      </c>
      <c r="B2751" s="952"/>
      <c r="C2751" s="952"/>
      <c r="D2751" s="952"/>
      <c r="E2751" s="952"/>
      <c r="F2751" s="412" t="s">
        <v>93</v>
      </c>
      <c r="G2751" s="881">
        <f>SUM(G2749:G2750)</f>
        <v>492.48</v>
      </c>
      <c r="H2751" s="952"/>
    </row>
    <row r="2752" spans="1:8" ht="15.9" customHeight="1">
      <c r="A2752" s="361" t="s">
        <v>95</v>
      </c>
      <c r="B2752" s="385">
        <f>G2751</f>
        <v>492.48</v>
      </c>
      <c r="C2752" s="952"/>
      <c r="D2752" s="952"/>
      <c r="E2752" s="952"/>
      <c r="F2752" s="132"/>
      <c r="G2752" s="132"/>
      <c r="H2752" s="952"/>
    </row>
    <row r="2753" spans="1:10" ht="15.9" customHeight="1">
      <c r="A2753" s="382" t="s">
        <v>2272</v>
      </c>
      <c r="B2753" s="381"/>
      <c r="C2753" s="952"/>
      <c r="D2753" s="952"/>
      <c r="E2753" s="952"/>
      <c r="F2753" s="132"/>
      <c r="G2753" s="132"/>
      <c r="H2753" s="952"/>
    </row>
    <row r="2754" spans="1:10" ht="15.9" customHeight="1">
      <c r="A2754" s="443" t="s">
        <v>2311</v>
      </c>
      <c r="B2754" s="381">
        <f>(B2752+B2753)*0.245</f>
        <v>120.6576</v>
      </c>
      <c r="C2754" s="952"/>
      <c r="D2754" s="952"/>
      <c r="E2754" s="952"/>
      <c r="F2754" s="132"/>
      <c r="G2754" s="132"/>
      <c r="H2754" s="952"/>
    </row>
    <row r="2755" spans="1:10" ht="15.9" customHeight="1">
      <c r="A2755" s="361" t="s">
        <v>98</v>
      </c>
      <c r="B2755" s="386">
        <f>SUM(B2752:B2754)</f>
        <v>613.13760000000002</v>
      </c>
      <c r="C2755" s="952"/>
      <c r="D2755" s="952"/>
      <c r="E2755" s="952"/>
      <c r="F2755" s="132"/>
      <c r="G2755" s="132"/>
      <c r="H2755" s="408"/>
    </row>
    <row r="2756" spans="1:10">
      <c r="A2756" s="362"/>
      <c r="B2756" s="363"/>
      <c r="C2756" s="364"/>
      <c r="D2756" s="362"/>
      <c r="E2756" s="363"/>
      <c r="F2756" s="363"/>
      <c r="G2756" s="363"/>
      <c r="H2756" s="362"/>
    </row>
    <row r="2758" spans="1:10">
      <c r="A2758" s="122" t="s">
        <v>1287</v>
      </c>
    </row>
    <row r="2759" spans="1:10">
      <c r="A2759" s="884" t="s">
        <v>2464</v>
      </c>
      <c r="B2759" s="390" t="s">
        <v>79</v>
      </c>
      <c r="C2759" s="390"/>
      <c r="D2759" s="390"/>
      <c r="E2759" s="390"/>
      <c r="F2759" s="390"/>
      <c r="G2759" s="390"/>
      <c r="H2759" s="390"/>
    </row>
    <row r="2760" spans="1:10" ht="26.25" customHeight="1">
      <c r="A2760" s="452" t="s">
        <v>1548</v>
      </c>
      <c r="B2760" s="1136" t="s">
        <v>2873</v>
      </c>
      <c r="C2760" s="1136"/>
      <c r="D2760" s="440" t="s">
        <v>1452</v>
      </c>
      <c r="E2760" s="122"/>
      <c r="F2760" s="131"/>
      <c r="G2760" s="131"/>
      <c r="H2760" s="131"/>
      <c r="J2760" s="122" t="s">
        <v>2367</v>
      </c>
    </row>
    <row r="2761" spans="1:10" ht="20.399999999999999">
      <c r="A2761" s="309" t="s">
        <v>30</v>
      </c>
      <c r="B2761" s="354" t="s">
        <v>19</v>
      </c>
      <c r="C2761" s="293" t="s">
        <v>81</v>
      </c>
      <c r="D2761" s="294" t="s">
        <v>77</v>
      </c>
      <c r="E2761" s="294" t="s">
        <v>82</v>
      </c>
      <c r="F2761" s="295" t="s">
        <v>83</v>
      </c>
      <c r="G2761" s="355" t="s">
        <v>84</v>
      </c>
      <c r="H2761" s="131"/>
    </row>
    <row r="2762" spans="1:10" ht="14.1" customHeight="1">
      <c r="A2762" s="365">
        <v>13</v>
      </c>
      <c r="B2762" s="500" t="s">
        <v>2368</v>
      </c>
      <c r="C2762" s="339" t="s">
        <v>87</v>
      </c>
      <c r="D2762" s="461" t="s">
        <v>1319</v>
      </c>
      <c r="E2762" s="341">
        <v>0.12</v>
      </c>
      <c r="F2762" s="837">
        <v>16.920000000000002</v>
      </c>
      <c r="G2762" s="358">
        <f>TRUNC(E2762*F2762,2)</f>
        <v>2.0299999999999998</v>
      </c>
      <c r="H2762" s="131"/>
    </row>
    <row r="2763" spans="1:10" ht="14.1" customHeight="1">
      <c r="A2763" s="365">
        <v>7307</v>
      </c>
      <c r="B2763" s="500" t="s">
        <v>2230</v>
      </c>
      <c r="C2763" s="339" t="s">
        <v>87</v>
      </c>
      <c r="D2763" s="461" t="s">
        <v>1207</v>
      </c>
      <c r="E2763" s="341">
        <v>0.08</v>
      </c>
      <c r="F2763" s="835">
        <v>24.03</v>
      </c>
      <c r="G2763" s="358">
        <f t="shared" ref="G2763:G2764" si="99">TRUNC(E2763*F2763,2)</f>
        <v>1.92</v>
      </c>
      <c r="H2763" s="131"/>
    </row>
    <row r="2764" spans="1:10" ht="14.1" customHeight="1">
      <c r="A2764" s="365" t="s">
        <v>2370</v>
      </c>
      <c r="B2764" s="356" t="s">
        <v>2369</v>
      </c>
      <c r="C2764" s="339" t="s">
        <v>87</v>
      </c>
      <c r="D2764" s="461" t="s">
        <v>381</v>
      </c>
      <c r="E2764" s="341">
        <v>1</v>
      </c>
      <c r="F2764" s="641">
        <v>3499</v>
      </c>
      <c r="G2764" s="642">
        <f t="shared" si="99"/>
        <v>3499</v>
      </c>
      <c r="H2764" s="131"/>
      <c r="J2764" s="122" t="s">
        <v>2378</v>
      </c>
    </row>
    <row r="2765" spans="1:10" ht="14.1" customHeight="1">
      <c r="A2765" s="1141">
        <v>88242</v>
      </c>
      <c r="B2765" s="1147" t="s">
        <v>2371</v>
      </c>
      <c r="C2765" s="339" t="s">
        <v>104</v>
      </c>
      <c r="D2765" s="1143" t="s">
        <v>381</v>
      </c>
      <c r="E2765" s="1139">
        <v>0.7</v>
      </c>
      <c r="F2765" s="837">
        <f>'COMP AUX'!G70</f>
        <v>11.11</v>
      </c>
      <c r="G2765" s="358">
        <f>TRUNC(E2765*F2765,2)</f>
        <v>7.77</v>
      </c>
      <c r="H2765" s="131"/>
    </row>
    <row r="2766" spans="1:10" ht="14.1" customHeight="1">
      <c r="A2766" s="1142"/>
      <c r="B2766" s="1148"/>
      <c r="C2766" s="339" t="s">
        <v>87</v>
      </c>
      <c r="D2766" s="1144"/>
      <c r="E2766" s="1140"/>
      <c r="F2766" s="837">
        <f>'COMP AUX'!G71</f>
        <v>4.79</v>
      </c>
      <c r="G2766" s="358">
        <f>TRUNC(E2765*F2766,2)</f>
        <v>3.35</v>
      </c>
      <c r="H2766" s="131"/>
    </row>
    <row r="2767" spans="1:10" ht="14.1" customHeight="1">
      <c r="A2767" s="1145">
        <v>88267</v>
      </c>
      <c r="B2767" s="1147" t="s">
        <v>271</v>
      </c>
      <c r="C2767" s="395" t="s">
        <v>104</v>
      </c>
      <c r="D2767" s="1143" t="s">
        <v>381</v>
      </c>
      <c r="E2767" s="1139">
        <v>0.5</v>
      </c>
      <c r="F2767" s="810">
        <f>'COMP AUX'!G338</f>
        <v>15.5</v>
      </c>
      <c r="G2767" s="396">
        <f>TRUNC(E2767*F2767,2)</f>
        <v>7.75</v>
      </c>
      <c r="H2767" s="131"/>
    </row>
    <row r="2768" spans="1:10" ht="14.1" customHeight="1">
      <c r="A2768" s="1146"/>
      <c r="B2768" s="1148"/>
      <c r="C2768" s="395" t="s">
        <v>87</v>
      </c>
      <c r="D2768" s="1144"/>
      <c r="E2768" s="1140"/>
      <c r="F2768" s="810">
        <f>'COMP AUX'!G339</f>
        <v>4.4000000000000004</v>
      </c>
      <c r="G2768" s="396">
        <f>TRUNC(E2767*F2768,2)</f>
        <v>2.2000000000000002</v>
      </c>
      <c r="H2768" s="131"/>
    </row>
    <row r="2769" spans="1:10" ht="14.1" customHeight="1">
      <c r="A2769" s="131"/>
      <c r="B2769" s="131"/>
      <c r="C2769" s="131"/>
      <c r="D2769" s="131"/>
      <c r="E2769" s="131"/>
      <c r="F2769" s="412" t="s">
        <v>90</v>
      </c>
      <c r="G2769" s="396">
        <f>G2765+G2767</f>
        <v>15.52</v>
      </c>
      <c r="H2769" s="131"/>
    </row>
    <row r="2770" spans="1:10" ht="14.1" customHeight="1">
      <c r="A2770" s="131"/>
      <c r="B2770" s="131"/>
      <c r="C2770" s="131"/>
      <c r="D2770" s="131"/>
      <c r="E2770" s="131"/>
      <c r="F2770" s="412" t="s">
        <v>92</v>
      </c>
      <c r="G2770" s="435">
        <f>G2762+G2763+G2764+G2766+G2768</f>
        <v>3508.4999999999995</v>
      </c>
      <c r="H2770" s="131"/>
    </row>
    <row r="2771" spans="1:10" ht="14.1" customHeight="1">
      <c r="A2771" s="413" t="s">
        <v>94</v>
      </c>
      <c r="B2771" s="131"/>
      <c r="C2771" s="131"/>
      <c r="D2771" s="131"/>
      <c r="E2771" s="131"/>
      <c r="F2771" s="412" t="s">
        <v>93</v>
      </c>
      <c r="G2771" s="437">
        <f>SUM(G2769:G2770)</f>
        <v>3524.0199999999995</v>
      </c>
      <c r="H2771" s="131"/>
    </row>
    <row r="2772" spans="1:10" ht="14.1" customHeight="1">
      <c r="A2772" s="361" t="s">
        <v>95</v>
      </c>
      <c r="B2772" s="466">
        <f>G2771</f>
        <v>3524.0199999999995</v>
      </c>
      <c r="C2772" s="131"/>
      <c r="D2772" s="131"/>
      <c r="E2772" s="131"/>
      <c r="F2772" s="132"/>
      <c r="G2772" s="132"/>
      <c r="H2772" s="131"/>
    </row>
    <row r="2773" spans="1:10" ht="14.1" customHeight="1">
      <c r="A2773" s="382" t="s">
        <v>2272</v>
      </c>
      <c r="B2773" s="381"/>
      <c r="C2773" s="131"/>
      <c r="D2773" s="131"/>
      <c r="E2773" s="131"/>
      <c r="F2773" s="132"/>
      <c r="G2773" s="132"/>
      <c r="H2773" s="131"/>
    </row>
    <row r="2774" spans="1:10" ht="14.1" customHeight="1">
      <c r="A2774" s="443" t="s">
        <v>2311</v>
      </c>
      <c r="B2774" s="381">
        <f>(B2772+B2773)*0.245</f>
        <v>863.3848999999999</v>
      </c>
      <c r="C2774" s="131"/>
      <c r="D2774" s="131"/>
      <c r="E2774" s="131"/>
      <c r="F2774" s="132"/>
      <c r="G2774" s="132"/>
      <c r="H2774" s="131"/>
    </row>
    <row r="2775" spans="1:10" ht="14.1" customHeight="1">
      <c r="A2775" s="361" t="s">
        <v>98</v>
      </c>
      <c r="B2775" s="467">
        <f>SUM(B2772:B2774)</f>
        <v>4387.4048999999995</v>
      </c>
      <c r="C2775" s="131"/>
      <c r="D2775" s="131"/>
      <c r="E2775" s="131"/>
      <c r="F2775" s="132"/>
      <c r="G2775" s="132"/>
      <c r="H2775" s="408"/>
    </row>
    <row r="2776" spans="1:10">
      <c r="A2776" s="362"/>
      <c r="B2776" s="363"/>
      <c r="C2776" s="364"/>
      <c r="D2776" s="362"/>
      <c r="E2776" s="363"/>
      <c r="F2776" s="363"/>
      <c r="G2776" s="363"/>
      <c r="H2776" s="362"/>
    </row>
    <row r="2777" spans="1:10">
      <c r="A2777" s="362"/>
      <c r="B2777" s="363"/>
      <c r="C2777" s="364"/>
      <c r="D2777" s="362"/>
      <c r="E2777" s="363"/>
      <c r="F2777" s="363"/>
      <c r="G2777" s="363"/>
      <c r="H2777" s="362"/>
    </row>
    <row r="2779" spans="1:10">
      <c r="A2779" s="826" t="s">
        <v>2710</v>
      </c>
    </row>
    <row r="2780" spans="1:10">
      <c r="A2780" s="972" t="s">
        <v>2997</v>
      </c>
      <c r="B2780" s="807"/>
      <c r="C2780" s="807"/>
      <c r="D2780" s="807"/>
      <c r="E2780" s="807"/>
      <c r="F2780" s="807"/>
      <c r="G2780" s="807"/>
      <c r="H2780" s="807"/>
    </row>
    <row r="2781" spans="1:10" ht="26.25" customHeight="1">
      <c r="A2781" s="452" t="s">
        <v>1548</v>
      </c>
      <c r="B2781" s="1136" t="s">
        <v>1799</v>
      </c>
      <c r="C2781" s="1136"/>
      <c r="D2781" s="440" t="s">
        <v>1452</v>
      </c>
      <c r="E2781" s="122"/>
      <c r="F2781" s="808"/>
      <c r="G2781" s="808"/>
      <c r="H2781" s="808"/>
      <c r="J2781" s="122" t="s">
        <v>2367</v>
      </c>
    </row>
    <row r="2782" spans="1:10" ht="20.399999999999999">
      <c r="A2782" s="804" t="s">
        <v>30</v>
      </c>
      <c r="B2782" s="354" t="s">
        <v>19</v>
      </c>
      <c r="C2782" s="293" t="s">
        <v>81</v>
      </c>
      <c r="D2782" s="803" t="s">
        <v>77</v>
      </c>
      <c r="E2782" s="803" t="s">
        <v>82</v>
      </c>
      <c r="F2782" s="862" t="s">
        <v>83</v>
      </c>
      <c r="G2782" s="355" t="s">
        <v>84</v>
      </c>
      <c r="H2782" s="808"/>
    </row>
    <row r="2783" spans="1:10" ht="14.1" customHeight="1">
      <c r="A2783" s="801">
        <v>13</v>
      </c>
      <c r="B2783" s="842" t="s">
        <v>2368</v>
      </c>
      <c r="C2783" s="809" t="s">
        <v>87</v>
      </c>
      <c r="D2783" s="805" t="s">
        <v>1319</v>
      </c>
      <c r="E2783" s="919">
        <v>0.12</v>
      </c>
      <c r="F2783" s="835">
        <v>16.53</v>
      </c>
      <c r="G2783" s="358">
        <f>TRUNC(E2783*F2783,2)</f>
        <v>1.98</v>
      </c>
      <c r="H2783" s="808"/>
    </row>
    <row r="2784" spans="1:10" ht="14.1" customHeight="1">
      <c r="A2784" s="917">
        <v>7307</v>
      </c>
      <c r="B2784" s="923" t="s">
        <v>2230</v>
      </c>
      <c r="C2784" s="924"/>
      <c r="D2784" s="921" t="s">
        <v>1207</v>
      </c>
      <c r="E2784" s="919">
        <v>0.08</v>
      </c>
      <c r="F2784" s="835">
        <v>21.65</v>
      </c>
      <c r="G2784" s="358"/>
      <c r="H2784" s="952"/>
    </row>
    <row r="2785" spans="1:10" ht="21.75" customHeight="1">
      <c r="A2785" s="801">
        <v>10228</v>
      </c>
      <c r="B2785" s="802" t="s">
        <v>2908</v>
      </c>
      <c r="C2785" s="809" t="s">
        <v>87</v>
      </c>
      <c r="D2785" s="805" t="s">
        <v>381</v>
      </c>
      <c r="E2785" s="806">
        <v>1</v>
      </c>
      <c r="F2785" s="885">
        <v>161.78</v>
      </c>
      <c r="G2785" s="642">
        <f>TRUNC(E2785*F2785,2)</f>
        <v>161.78</v>
      </c>
      <c r="H2785" s="808"/>
      <c r="J2785" s="122" t="s">
        <v>2378</v>
      </c>
    </row>
    <row r="2786" spans="1:10" ht="14.1" customHeight="1">
      <c r="A2786" s="1141">
        <v>88242</v>
      </c>
      <c r="B2786" s="1147" t="s">
        <v>307</v>
      </c>
      <c r="C2786" s="809" t="s">
        <v>104</v>
      </c>
      <c r="D2786" s="1143" t="s">
        <v>383</v>
      </c>
      <c r="E2786" s="1139">
        <v>0.7</v>
      </c>
      <c r="F2786" s="837">
        <f>'COMP AUX'!G321</f>
        <v>10.98</v>
      </c>
      <c r="G2786" s="358">
        <f>TRUNC(E2786*F2786,2)</f>
        <v>7.68</v>
      </c>
      <c r="H2786" s="808"/>
    </row>
    <row r="2787" spans="1:10" ht="14.1" customHeight="1">
      <c r="A2787" s="1142"/>
      <c r="B2787" s="1148"/>
      <c r="C2787" s="809" t="s">
        <v>87</v>
      </c>
      <c r="D2787" s="1144"/>
      <c r="E2787" s="1140"/>
      <c r="F2787" s="837">
        <f>'COMP AUX'!G322</f>
        <v>4.4000000000000004</v>
      </c>
      <c r="G2787" s="358">
        <f>TRUNC(E2786*F2787,2)</f>
        <v>3.08</v>
      </c>
      <c r="H2787" s="808"/>
    </row>
    <row r="2788" spans="1:10" ht="14.1" customHeight="1">
      <c r="A2788" s="1145">
        <v>88267</v>
      </c>
      <c r="B2788" s="1147" t="s">
        <v>271</v>
      </c>
      <c r="C2788" s="395" t="s">
        <v>104</v>
      </c>
      <c r="D2788" s="1143" t="s">
        <v>383</v>
      </c>
      <c r="E2788" s="1139">
        <v>0.85</v>
      </c>
      <c r="F2788" s="810">
        <f>'COMP AUX'!G338</f>
        <v>15.5</v>
      </c>
      <c r="G2788" s="396">
        <f>TRUNC(E2788*F2788,2)</f>
        <v>13.17</v>
      </c>
      <c r="H2788" s="808"/>
    </row>
    <row r="2789" spans="1:10" ht="14.1" customHeight="1">
      <c r="A2789" s="1146"/>
      <c r="B2789" s="1148"/>
      <c r="C2789" s="395" t="s">
        <v>87</v>
      </c>
      <c r="D2789" s="1144"/>
      <c r="E2789" s="1140"/>
      <c r="F2789" s="810">
        <f>'COMP AUX'!G339</f>
        <v>4.4000000000000004</v>
      </c>
      <c r="G2789" s="396">
        <f>TRUNC(E2788*F2789,2)</f>
        <v>3.74</v>
      </c>
      <c r="H2789" s="808"/>
    </row>
    <row r="2790" spans="1:10" ht="14.1" customHeight="1">
      <c r="A2790" s="808"/>
      <c r="B2790" s="808"/>
      <c r="C2790" s="808"/>
      <c r="D2790" s="808"/>
      <c r="E2790" s="808"/>
      <c r="F2790" s="412" t="s">
        <v>90</v>
      </c>
      <c r="G2790" s="396">
        <f>G2786+G2788</f>
        <v>20.85</v>
      </c>
      <c r="H2790" s="808"/>
    </row>
    <row r="2791" spans="1:10" ht="14.1" customHeight="1">
      <c r="A2791" s="808"/>
      <c r="B2791" s="808"/>
      <c r="C2791" s="808"/>
      <c r="D2791" s="808"/>
      <c r="E2791" s="808"/>
      <c r="F2791" s="412" t="s">
        <v>92</v>
      </c>
      <c r="G2791" s="435">
        <f>SUM(G2783,G2785,G2787,G2789)</f>
        <v>170.58</v>
      </c>
      <c r="H2791" s="808"/>
    </row>
    <row r="2792" spans="1:10" ht="14.1" customHeight="1">
      <c r="A2792" s="413" t="s">
        <v>94</v>
      </c>
      <c r="B2792" s="808"/>
      <c r="C2792" s="808"/>
      <c r="D2792" s="808"/>
      <c r="E2792" s="808"/>
      <c r="F2792" s="412" t="s">
        <v>93</v>
      </c>
      <c r="G2792" s="883">
        <f>SUM(G2790:G2791)</f>
        <v>191.43</v>
      </c>
      <c r="H2792" s="808"/>
    </row>
    <row r="2793" spans="1:10" ht="14.1" customHeight="1">
      <c r="A2793" s="361" t="s">
        <v>95</v>
      </c>
      <c r="B2793" s="466">
        <f>G2792</f>
        <v>191.43</v>
      </c>
      <c r="C2793" s="808"/>
      <c r="D2793" s="808"/>
      <c r="E2793" s="808"/>
      <c r="F2793" s="132"/>
      <c r="G2793" s="132"/>
      <c r="H2793" s="808"/>
    </row>
    <row r="2794" spans="1:10" ht="14.1" customHeight="1">
      <c r="A2794" s="382" t="s">
        <v>2272</v>
      </c>
      <c r="B2794" s="381"/>
      <c r="C2794" s="808"/>
      <c r="D2794" s="808"/>
      <c r="E2794" s="808"/>
      <c r="F2794" s="132"/>
      <c r="G2794" s="132"/>
      <c r="H2794" s="808"/>
    </row>
    <row r="2795" spans="1:10" ht="14.1" customHeight="1">
      <c r="A2795" s="443" t="s">
        <v>2311</v>
      </c>
      <c r="B2795" s="381">
        <f>(B2793+B2794)*0.245</f>
        <v>46.900350000000003</v>
      </c>
      <c r="C2795" s="808"/>
      <c r="D2795" s="808"/>
      <c r="E2795" s="808"/>
      <c r="F2795" s="132"/>
      <c r="G2795" s="132"/>
      <c r="H2795" s="808"/>
    </row>
    <row r="2796" spans="1:10" ht="14.1" customHeight="1">
      <c r="A2796" s="361" t="s">
        <v>98</v>
      </c>
      <c r="B2796" s="467">
        <f>SUM(B2793:B2795)</f>
        <v>238.33035000000001</v>
      </c>
      <c r="C2796" s="808"/>
      <c r="D2796" s="808"/>
      <c r="E2796" s="808"/>
      <c r="F2796" s="132"/>
      <c r="G2796" s="132"/>
      <c r="H2796" s="408"/>
    </row>
    <row r="2797" spans="1:10">
      <c r="A2797" s="362"/>
      <c r="B2797" s="363"/>
      <c r="C2797" s="364"/>
      <c r="D2797" s="362"/>
      <c r="E2797" s="363"/>
      <c r="F2797" s="363"/>
      <c r="G2797" s="363"/>
      <c r="H2797" s="362"/>
    </row>
    <row r="2799" spans="1:10">
      <c r="A2799" s="122" t="s">
        <v>1287</v>
      </c>
    </row>
    <row r="2800" spans="1:10">
      <c r="A2800" s="1134" t="s">
        <v>1933</v>
      </c>
      <c r="B2800" s="1135"/>
      <c r="C2800" s="1135"/>
      <c r="D2800" s="1135"/>
      <c r="E2800" s="1135"/>
      <c r="F2800" s="1135"/>
      <c r="G2800" s="1135"/>
      <c r="H2800" s="1135"/>
    </row>
    <row r="2801" spans="1:8" ht="42" customHeight="1">
      <c r="A2801" s="481" t="s">
        <v>1548</v>
      </c>
      <c r="B2801" s="1116" t="s">
        <v>1918</v>
      </c>
      <c r="C2801" s="1116"/>
      <c r="D2801" s="1116"/>
      <c r="E2801" s="421" t="s">
        <v>1452</v>
      </c>
      <c r="F2801" s="130"/>
      <c r="G2801" s="130"/>
      <c r="H2801" s="130"/>
    </row>
    <row r="2802" spans="1:8" ht="26.25" customHeight="1">
      <c r="A2802" s="309" t="s">
        <v>30</v>
      </c>
      <c r="B2802" s="354" t="s">
        <v>19</v>
      </c>
      <c r="C2802" s="293" t="s">
        <v>81</v>
      </c>
      <c r="D2802" s="294" t="s">
        <v>77</v>
      </c>
      <c r="E2802" s="294" t="s">
        <v>82</v>
      </c>
      <c r="F2802" s="295" t="s">
        <v>83</v>
      </c>
      <c r="G2802" s="355" t="s">
        <v>84</v>
      </c>
    </row>
    <row r="2803" spans="1:8" ht="15" customHeight="1">
      <c r="A2803" s="448" t="s">
        <v>1919</v>
      </c>
      <c r="B2803" s="453" t="s">
        <v>760</v>
      </c>
      <c r="C2803" s="438" t="s">
        <v>87</v>
      </c>
      <c r="D2803" s="438" t="s">
        <v>1319</v>
      </c>
      <c r="E2803" s="573">
        <v>0.25</v>
      </c>
      <c r="F2803" s="438">
        <v>2.92</v>
      </c>
      <c r="G2803" s="414">
        <f t="shared" ref="G2803:G2810" si="100">TRUNC(E2803*F2803,2)</f>
        <v>0.73</v>
      </c>
      <c r="H2803" s="130"/>
    </row>
    <row r="2804" spans="1:8" ht="15" customHeight="1">
      <c r="A2804" s="448" t="s">
        <v>1761</v>
      </c>
      <c r="B2804" s="453" t="s">
        <v>1920</v>
      </c>
      <c r="C2804" s="438" t="s">
        <v>87</v>
      </c>
      <c r="D2804" s="438" t="s">
        <v>381</v>
      </c>
      <c r="E2804" s="573">
        <v>1</v>
      </c>
      <c r="F2804" s="438">
        <v>1.83</v>
      </c>
      <c r="G2804" s="414">
        <f t="shared" si="100"/>
        <v>1.83</v>
      </c>
      <c r="H2804" s="130"/>
    </row>
    <row r="2805" spans="1:8" ht="25.5" customHeight="1">
      <c r="A2805" s="448" t="s">
        <v>1921</v>
      </c>
      <c r="B2805" s="453" t="s">
        <v>1922</v>
      </c>
      <c r="C2805" s="438" t="s">
        <v>87</v>
      </c>
      <c r="D2805" s="438" t="s">
        <v>381</v>
      </c>
      <c r="E2805" s="573">
        <v>1</v>
      </c>
      <c r="F2805" s="438">
        <v>2.69</v>
      </c>
      <c r="G2805" s="414">
        <f t="shared" si="100"/>
        <v>2.69</v>
      </c>
      <c r="H2805" s="130"/>
    </row>
    <row r="2806" spans="1:8" ht="20.399999999999999">
      <c r="A2806" s="448" t="s">
        <v>1923</v>
      </c>
      <c r="B2806" s="453" t="s">
        <v>1924</v>
      </c>
      <c r="C2806" s="438" t="s">
        <v>87</v>
      </c>
      <c r="D2806" s="438" t="s">
        <v>381</v>
      </c>
      <c r="E2806" s="573">
        <v>1</v>
      </c>
      <c r="F2806" s="438">
        <v>8.1300000000000008</v>
      </c>
      <c r="G2806" s="414">
        <f t="shared" si="100"/>
        <v>8.1300000000000008</v>
      </c>
      <c r="H2806" s="130"/>
    </row>
    <row r="2807" spans="1:8" ht="15" customHeight="1">
      <c r="A2807" s="448" t="s">
        <v>1925</v>
      </c>
      <c r="B2807" s="453" t="s">
        <v>1926</v>
      </c>
      <c r="C2807" s="438" t="s">
        <v>87</v>
      </c>
      <c r="D2807" s="438" t="s">
        <v>381</v>
      </c>
      <c r="E2807" s="573">
        <v>1</v>
      </c>
      <c r="F2807" s="438">
        <v>51.99</v>
      </c>
      <c r="G2807" s="414">
        <f t="shared" si="100"/>
        <v>51.99</v>
      </c>
      <c r="H2807" s="130"/>
    </row>
    <row r="2808" spans="1:8" ht="15" customHeight="1">
      <c r="A2808" s="448" t="s">
        <v>1927</v>
      </c>
      <c r="B2808" s="453" t="s">
        <v>1928</v>
      </c>
      <c r="C2808" s="438" t="s">
        <v>87</v>
      </c>
      <c r="D2808" s="438" t="s">
        <v>381</v>
      </c>
      <c r="E2808" s="573">
        <v>1</v>
      </c>
      <c r="F2808" s="438">
        <v>222.98</v>
      </c>
      <c r="G2808" s="414">
        <f t="shared" si="100"/>
        <v>222.98</v>
      </c>
      <c r="H2808" s="130"/>
    </row>
    <row r="2809" spans="1:8" ht="30.6">
      <c r="A2809" s="448" t="s">
        <v>1929</v>
      </c>
      <c r="B2809" s="453" t="s">
        <v>1930</v>
      </c>
      <c r="C2809" s="438" t="s">
        <v>87</v>
      </c>
      <c r="D2809" s="438" t="s">
        <v>381</v>
      </c>
      <c r="E2809" s="573">
        <v>2</v>
      </c>
      <c r="F2809" s="438">
        <v>3.07</v>
      </c>
      <c r="G2809" s="414">
        <f t="shared" si="100"/>
        <v>6.14</v>
      </c>
      <c r="H2809" s="130"/>
    </row>
    <row r="2810" spans="1:8" ht="15" customHeight="1">
      <c r="A2810" s="1117">
        <v>88267</v>
      </c>
      <c r="B2810" s="1119" t="s">
        <v>271</v>
      </c>
      <c r="C2810" s="438" t="s">
        <v>104</v>
      </c>
      <c r="D2810" s="1121" t="s">
        <v>383</v>
      </c>
      <c r="E2810" s="1210">
        <v>3.3</v>
      </c>
      <c r="F2810" s="415">
        <f>'COMP AUX'!G338</f>
        <v>15.5</v>
      </c>
      <c r="G2810" s="441">
        <f t="shared" si="100"/>
        <v>51.15</v>
      </c>
      <c r="H2810" s="130"/>
    </row>
    <row r="2811" spans="1:8" ht="15" customHeight="1">
      <c r="A2811" s="1118"/>
      <c r="B2811" s="1120"/>
      <c r="C2811" s="438" t="s">
        <v>87</v>
      </c>
      <c r="D2811" s="1122"/>
      <c r="E2811" s="1211"/>
      <c r="F2811" s="415">
        <f>'COMP AUX'!G339</f>
        <v>4.4000000000000004</v>
      </c>
      <c r="G2811" s="441">
        <f>TRUNC(E2810*F2811,2)</f>
        <v>14.52</v>
      </c>
      <c r="H2811" s="130"/>
    </row>
    <row r="2812" spans="1:8" ht="15" customHeight="1">
      <c r="A2812" s="1117">
        <v>88316</v>
      </c>
      <c r="B2812" s="1119" t="s">
        <v>110</v>
      </c>
      <c r="C2812" s="438" t="s">
        <v>104</v>
      </c>
      <c r="D2812" s="1121" t="s">
        <v>383</v>
      </c>
      <c r="E2812" s="1210">
        <v>3.3</v>
      </c>
      <c r="F2812" s="415">
        <f>'COMP AUX'!G104</f>
        <v>11.18</v>
      </c>
      <c r="G2812" s="441">
        <f t="shared" ref="G2812" si="101">TRUNC(E2812*F2812,2)</f>
        <v>36.89</v>
      </c>
      <c r="H2812" s="130"/>
    </row>
    <row r="2813" spans="1:8" ht="15" customHeight="1">
      <c r="A2813" s="1118"/>
      <c r="B2813" s="1120"/>
      <c r="C2813" s="438" t="s">
        <v>87</v>
      </c>
      <c r="D2813" s="1122"/>
      <c r="E2813" s="1211"/>
      <c r="F2813" s="415">
        <f>'COMP AUX'!G105</f>
        <v>4.7300000000000004</v>
      </c>
      <c r="G2813" s="441">
        <f>TRUNC(E2812*F2813,2)</f>
        <v>15.6</v>
      </c>
      <c r="H2813" s="130"/>
    </row>
    <row r="2814" spans="1:8" ht="15" customHeight="1">
      <c r="A2814" s="130"/>
      <c r="B2814" s="130"/>
      <c r="C2814" s="130"/>
      <c r="D2814" s="130"/>
      <c r="E2814" s="130"/>
      <c r="F2814" s="416" t="s">
        <v>90</v>
      </c>
      <c r="G2814" s="441">
        <f>G2810+G2812</f>
        <v>88.039999999999992</v>
      </c>
      <c r="H2814" s="130"/>
    </row>
    <row r="2815" spans="1:8" ht="15" customHeight="1">
      <c r="A2815" s="130"/>
      <c r="B2815" s="130"/>
      <c r="C2815" s="130"/>
      <c r="D2815" s="130"/>
      <c r="E2815" s="130"/>
      <c r="F2815" s="416" t="s">
        <v>92</v>
      </c>
      <c r="G2815" s="414">
        <f>G2803+G2804+G2805+G2806+G2807+G2808+G2809+G2811+G2813</f>
        <v>324.61</v>
      </c>
      <c r="H2815" s="130"/>
    </row>
    <row r="2816" spans="1:8" ht="15" customHeight="1">
      <c r="A2816" s="413" t="s">
        <v>94</v>
      </c>
      <c r="B2816" s="131"/>
      <c r="C2816" s="130"/>
      <c r="D2816" s="130"/>
      <c r="E2816" s="130"/>
      <c r="F2816" s="416" t="s">
        <v>93</v>
      </c>
      <c r="G2816" s="829">
        <f>SUM(G2814:G2815)</f>
        <v>412.65</v>
      </c>
      <c r="H2816" s="130"/>
    </row>
    <row r="2817" spans="1:10" ht="15" customHeight="1">
      <c r="A2817" s="361" t="s">
        <v>95</v>
      </c>
      <c r="B2817" s="385">
        <f>G2816</f>
        <v>412.65</v>
      </c>
      <c r="C2817" s="130"/>
      <c r="D2817" s="130"/>
      <c r="E2817" s="130"/>
      <c r="F2817" s="126"/>
      <c r="G2817" s="126"/>
      <c r="H2817" s="130"/>
    </row>
    <row r="2818" spans="1:10" ht="15" customHeight="1">
      <c r="A2818" s="382" t="s">
        <v>2272</v>
      </c>
      <c r="B2818" s="381"/>
      <c r="C2818" s="130"/>
      <c r="D2818" s="130"/>
      <c r="E2818" s="130"/>
      <c r="F2818" s="126"/>
      <c r="G2818" s="126"/>
      <c r="H2818" s="130"/>
    </row>
    <row r="2819" spans="1:10" ht="15" customHeight="1">
      <c r="A2819" s="443" t="s">
        <v>2311</v>
      </c>
      <c r="B2819" s="381">
        <f>(B2817+B2818)*0.245</f>
        <v>101.09925</v>
      </c>
      <c r="C2819" s="130"/>
      <c r="D2819" s="130"/>
      <c r="E2819" s="130"/>
      <c r="F2819" s="126"/>
      <c r="G2819" s="126"/>
      <c r="H2819" s="130"/>
    </row>
    <row r="2820" spans="1:10" ht="15" customHeight="1">
      <c r="A2820" s="361" t="s">
        <v>98</v>
      </c>
      <c r="B2820" s="386">
        <f>SUM(B2817:B2819)</f>
        <v>513.74924999999996</v>
      </c>
      <c r="C2820" s="130"/>
      <c r="D2820" s="130"/>
      <c r="E2820" s="130"/>
      <c r="F2820" s="126"/>
      <c r="G2820" s="126"/>
      <c r="H2820" s="419"/>
    </row>
    <row r="2821" spans="1:10">
      <c r="A2821" s="362"/>
      <c r="B2821" s="363"/>
      <c r="C2821" s="364"/>
      <c r="D2821" s="362"/>
      <c r="E2821" s="363"/>
      <c r="F2821" s="363"/>
      <c r="G2821" s="363"/>
      <c r="H2821" s="362"/>
    </row>
    <row r="2823" spans="1:10">
      <c r="A2823" s="826" t="s">
        <v>2710</v>
      </c>
    </row>
    <row r="2824" spans="1:10">
      <c r="A2824" s="390" t="s">
        <v>2466</v>
      </c>
      <c r="B2824" s="390"/>
      <c r="C2824" s="390"/>
      <c r="D2824" s="390"/>
      <c r="E2824" s="390"/>
      <c r="F2824" s="390"/>
      <c r="G2824" s="390"/>
      <c r="H2824" s="390"/>
    </row>
    <row r="2825" spans="1:10" ht="15.75" customHeight="1">
      <c r="A2825" s="452" t="s">
        <v>1548</v>
      </c>
      <c r="B2825" s="452" t="s">
        <v>2389</v>
      </c>
      <c r="C2825" s="440" t="s">
        <v>1452</v>
      </c>
      <c r="D2825" s="452"/>
      <c r="E2825" s="122"/>
      <c r="F2825" s="131"/>
      <c r="G2825" s="131"/>
      <c r="H2825" s="131"/>
      <c r="I2825" s="122">
        <v>9535</v>
      </c>
    </row>
    <row r="2826" spans="1:10" ht="20.399999999999999">
      <c r="A2826" s="309" t="s">
        <v>30</v>
      </c>
      <c r="B2826" s="354" t="s">
        <v>19</v>
      </c>
      <c r="C2826" s="293" t="s">
        <v>81</v>
      </c>
      <c r="D2826" s="294" t="s">
        <v>77</v>
      </c>
      <c r="E2826" s="294" t="s">
        <v>82</v>
      </c>
      <c r="F2826" s="295" t="s">
        <v>83</v>
      </c>
      <c r="G2826" s="355" t="s">
        <v>84</v>
      </c>
      <c r="H2826" s="131"/>
    </row>
    <row r="2827" spans="1:10" ht="15" customHeight="1">
      <c r="A2827" s="365" t="s">
        <v>79</v>
      </c>
      <c r="B2827" s="356" t="s">
        <v>2389</v>
      </c>
      <c r="C2827" s="339" t="s">
        <v>87</v>
      </c>
      <c r="D2827" s="461" t="s">
        <v>381</v>
      </c>
      <c r="E2827" s="341">
        <v>1</v>
      </c>
      <c r="F2827" s="641">
        <v>2134.4299999999998</v>
      </c>
      <c r="G2827" s="642">
        <f>TRUNC(E2827*F2827,2)</f>
        <v>2134.4299999999998</v>
      </c>
      <c r="H2827" s="131"/>
      <c r="J2827" s="122" t="s">
        <v>2390</v>
      </c>
    </row>
    <row r="2828" spans="1:10" ht="15" customHeight="1">
      <c r="A2828" s="365">
        <v>3148</v>
      </c>
      <c r="B2828" s="500" t="s">
        <v>2388</v>
      </c>
      <c r="C2828" s="339" t="s">
        <v>87</v>
      </c>
      <c r="D2828" s="461" t="s">
        <v>381</v>
      </c>
      <c r="E2828" s="341">
        <v>0.01</v>
      </c>
      <c r="F2828" s="837">
        <v>15.63</v>
      </c>
      <c r="G2828" s="358">
        <f>TRUNC(E2828*F2828,2)</f>
        <v>0.15</v>
      </c>
      <c r="H2828" s="131"/>
    </row>
    <row r="2829" spans="1:10" ht="15" customHeight="1">
      <c r="A2829" s="1141">
        <v>88264</v>
      </c>
      <c r="B2829" s="1147" t="s">
        <v>279</v>
      </c>
      <c r="C2829" s="339" t="s">
        <v>104</v>
      </c>
      <c r="D2829" s="1143" t="s">
        <v>381</v>
      </c>
      <c r="E2829" s="1139">
        <v>0.45</v>
      </c>
      <c r="F2829" s="837">
        <f>'COMP AUX'!G253</f>
        <v>15.71</v>
      </c>
      <c r="G2829" s="358">
        <f>TRUNC(E2829*F2829,2)</f>
        <v>7.06</v>
      </c>
      <c r="H2829" s="131"/>
    </row>
    <row r="2830" spans="1:10" ht="15" customHeight="1">
      <c r="A2830" s="1142"/>
      <c r="B2830" s="1148"/>
      <c r="C2830" s="339" t="s">
        <v>87</v>
      </c>
      <c r="D2830" s="1144"/>
      <c r="E2830" s="1140"/>
      <c r="F2830" s="837">
        <f>'COMP AUX'!G254</f>
        <v>4.8099999999999996</v>
      </c>
      <c r="G2830" s="358">
        <f>TRUNC(E2829*F2830,2)</f>
        <v>2.16</v>
      </c>
      <c r="H2830" s="131"/>
    </row>
    <row r="2831" spans="1:10" ht="15" customHeight="1">
      <c r="A2831" s="1145">
        <v>88316</v>
      </c>
      <c r="B2831" s="1147" t="s">
        <v>110</v>
      </c>
      <c r="C2831" s="395" t="s">
        <v>104</v>
      </c>
      <c r="D2831" s="1143" t="s">
        <v>381</v>
      </c>
      <c r="E2831" s="1139">
        <v>0.3</v>
      </c>
      <c r="F2831" s="810">
        <f>'COMP AUX'!G104</f>
        <v>11.18</v>
      </c>
      <c r="G2831" s="396">
        <f>TRUNC(E2831*F2831,2)</f>
        <v>3.35</v>
      </c>
      <c r="H2831" s="131"/>
    </row>
    <row r="2832" spans="1:10" ht="15" customHeight="1">
      <c r="A2832" s="1146"/>
      <c r="B2832" s="1148"/>
      <c r="C2832" s="395" t="s">
        <v>87</v>
      </c>
      <c r="D2832" s="1144"/>
      <c r="E2832" s="1140"/>
      <c r="F2832" s="810">
        <f>'COMP AUX'!G105</f>
        <v>4.7300000000000004</v>
      </c>
      <c r="G2832" s="396">
        <f>TRUNC(E2831*F2832,2)</f>
        <v>1.41</v>
      </c>
      <c r="H2832" s="131"/>
    </row>
    <row r="2833" spans="1:8" ht="15" customHeight="1">
      <c r="A2833" s="131"/>
      <c r="B2833" s="131"/>
      <c r="C2833" s="131"/>
      <c r="D2833" s="131"/>
      <c r="E2833" s="131"/>
      <c r="F2833" s="412" t="s">
        <v>90</v>
      </c>
      <c r="G2833" s="435">
        <f>G2829+G2831</f>
        <v>10.41</v>
      </c>
      <c r="H2833" s="131"/>
    </row>
    <row r="2834" spans="1:8" ht="15" customHeight="1">
      <c r="A2834" s="131"/>
      <c r="B2834" s="131"/>
      <c r="C2834" s="131"/>
      <c r="D2834" s="131"/>
      <c r="E2834" s="131"/>
      <c r="F2834" s="412" t="s">
        <v>92</v>
      </c>
      <c r="G2834" s="435">
        <f>G2827+G2828+G2830+G2832</f>
        <v>2138.1499999999996</v>
      </c>
      <c r="H2834" s="131"/>
    </row>
    <row r="2835" spans="1:8" ht="15" customHeight="1">
      <c r="A2835" s="413" t="s">
        <v>94</v>
      </c>
      <c r="B2835" s="131"/>
      <c r="C2835" s="131"/>
      <c r="D2835" s="131"/>
      <c r="E2835" s="131"/>
      <c r="F2835" s="412" t="s">
        <v>93</v>
      </c>
      <c r="G2835" s="883">
        <f>SUM(G2833:G2834)</f>
        <v>2148.5599999999995</v>
      </c>
      <c r="H2835" s="131"/>
    </row>
    <row r="2836" spans="1:8" ht="15" customHeight="1">
      <c r="A2836" s="361" t="s">
        <v>95</v>
      </c>
      <c r="B2836" s="466">
        <f>G2835</f>
        <v>2148.5599999999995</v>
      </c>
      <c r="C2836" s="131"/>
      <c r="D2836" s="131"/>
      <c r="E2836" s="131"/>
      <c r="F2836" s="132"/>
      <c r="G2836" s="132"/>
      <c r="H2836" s="131"/>
    </row>
    <row r="2837" spans="1:8" ht="15" customHeight="1">
      <c r="A2837" s="382" t="s">
        <v>2272</v>
      </c>
      <c r="B2837" s="632"/>
      <c r="C2837" s="131"/>
      <c r="D2837" s="131"/>
      <c r="E2837" s="131"/>
      <c r="F2837" s="132"/>
      <c r="G2837" s="132"/>
      <c r="H2837" s="131"/>
    </row>
    <row r="2838" spans="1:8" ht="15" customHeight="1">
      <c r="A2838" s="443" t="s">
        <v>2311</v>
      </c>
      <c r="B2838" s="632">
        <f>(B2836+B2837)*0.245</f>
        <v>526.39719999999988</v>
      </c>
      <c r="C2838" s="131"/>
      <c r="D2838" s="131"/>
      <c r="E2838" s="131"/>
      <c r="F2838" s="132"/>
      <c r="G2838" s="132"/>
      <c r="H2838" s="131"/>
    </row>
    <row r="2839" spans="1:8" ht="15" customHeight="1">
      <c r="A2839" s="361" t="s">
        <v>98</v>
      </c>
      <c r="B2839" s="467">
        <f>SUM(B2836:B2838)</f>
        <v>2674.9571999999994</v>
      </c>
      <c r="C2839" s="131"/>
      <c r="D2839" s="131"/>
      <c r="E2839" s="131"/>
      <c r="F2839" s="132"/>
      <c r="G2839" s="132"/>
      <c r="H2839" s="408"/>
    </row>
    <row r="2840" spans="1:8">
      <c r="A2840" s="362"/>
      <c r="B2840" s="363"/>
      <c r="C2840" s="364"/>
      <c r="D2840" s="362"/>
      <c r="E2840" s="363"/>
      <c r="F2840" s="363"/>
      <c r="G2840" s="363"/>
      <c r="H2840" s="362"/>
    </row>
    <row r="2842" spans="1:8">
      <c r="A2842" s="826" t="s">
        <v>2710</v>
      </c>
    </row>
    <row r="2843" spans="1:8" ht="14.25" customHeight="1">
      <c r="A2843" s="390" t="s">
        <v>1806</v>
      </c>
      <c r="B2843" s="390"/>
      <c r="C2843" s="390"/>
      <c r="D2843" s="390"/>
      <c r="E2843" s="390"/>
      <c r="F2843" s="390"/>
      <c r="G2843" s="390"/>
      <c r="H2843" s="390"/>
    </row>
    <row r="2844" spans="1:8" ht="17.25" customHeight="1">
      <c r="A2844" s="452" t="s">
        <v>1548</v>
      </c>
      <c r="B2844" s="1136" t="s">
        <v>1807</v>
      </c>
      <c r="C2844" s="1136"/>
      <c r="D2844" s="1136"/>
      <c r="E2844" s="411" t="s">
        <v>1452</v>
      </c>
      <c r="F2844" s="131"/>
      <c r="G2844" s="131"/>
      <c r="H2844" s="131"/>
    </row>
    <row r="2845" spans="1:8" ht="20.399999999999999">
      <c r="A2845" s="309" t="s">
        <v>30</v>
      </c>
      <c r="B2845" s="354" t="s">
        <v>19</v>
      </c>
      <c r="C2845" s="293" t="s">
        <v>81</v>
      </c>
      <c r="D2845" s="294" t="s">
        <v>77</v>
      </c>
      <c r="E2845" s="294" t="s">
        <v>82</v>
      </c>
      <c r="F2845" s="295" t="s">
        <v>83</v>
      </c>
      <c r="G2845" s="355" t="s">
        <v>84</v>
      </c>
      <c r="H2845" s="131"/>
    </row>
    <row r="2846" spans="1:8" ht="26.25" customHeight="1">
      <c r="A2846" s="365">
        <v>38190</v>
      </c>
      <c r="B2846" s="356" t="s">
        <v>2391</v>
      </c>
      <c r="C2846" s="339" t="s">
        <v>87</v>
      </c>
      <c r="D2846" s="461" t="s">
        <v>381</v>
      </c>
      <c r="E2846" s="341">
        <v>1</v>
      </c>
      <c r="F2846" s="835">
        <v>414.46</v>
      </c>
      <c r="G2846" s="358">
        <f>TRUNC(E2846*F2846,2)</f>
        <v>414.46</v>
      </c>
      <c r="H2846" s="131"/>
    </row>
    <row r="2847" spans="1:8" ht="15" customHeight="1">
      <c r="A2847" s="1141">
        <v>88267</v>
      </c>
      <c r="B2847" s="1147" t="s">
        <v>1502</v>
      </c>
      <c r="C2847" s="339" t="s">
        <v>104</v>
      </c>
      <c r="D2847" s="1143" t="s">
        <v>381</v>
      </c>
      <c r="E2847" s="1139">
        <v>0.5</v>
      </c>
      <c r="F2847" s="837">
        <f>'COMP AUX'!G338</f>
        <v>15.5</v>
      </c>
      <c r="G2847" s="358">
        <f>TRUNC(E2847*F2847,2)</f>
        <v>7.75</v>
      </c>
      <c r="H2847" s="131"/>
    </row>
    <row r="2848" spans="1:8" ht="15" customHeight="1">
      <c r="A2848" s="1142"/>
      <c r="B2848" s="1148"/>
      <c r="C2848" s="339" t="s">
        <v>87</v>
      </c>
      <c r="D2848" s="1144"/>
      <c r="E2848" s="1140"/>
      <c r="F2848" s="837">
        <f>'COMP AUX'!G339</f>
        <v>4.4000000000000004</v>
      </c>
      <c r="G2848" s="358">
        <f>TRUNC(E2847*F2848,2)</f>
        <v>2.2000000000000002</v>
      </c>
      <c r="H2848" s="131"/>
    </row>
    <row r="2849" spans="1:13" ht="15" customHeight="1">
      <c r="A2849" s="1145">
        <v>88248</v>
      </c>
      <c r="B2849" s="1147" t="s">
        <v>307</v>
      </c>
      <c r="C2849" s="395" t="s">
        <v>104</v>
      </c>
      <c r="D2849" s="1143" t="s">
        <v>381</v>
      </c>
      <c r="E2849" s="1139">
        <v>0.5</v>
      </c>
      <c r="F2849" s="810">
        <f>'COMP AUX'!G321</f>
        <v>10.98</v>
      </c>
      <c r="G2849" s="396">
        <f>TRUNC(E2849*F2849,2)</f>
        <v>5.49</v>
      </c>
      <c r="H2849" s="131"/>
    </row>
    <row r="2850" spans="1:13" ht="15" customHeight="1">
      <c r="A2850" s="1146"/>
      <c r="B2850" s="1148"/>
      <c r="C2850" s="395" t="s">
        <v>87</v>
      </c>
      <c r="D2850" s="1144"/>
      <c r="E2850" s="1140"/>
      <c r="F2850" s="810">
        <f>'COMP AUX'!G322</f>
        <v>4.4000000000000004</v>
      </c>
      <c r="G2850" s="396">
        <f>TRUNC(E2849*F2850,2)</f>
        <v>2.2000000000000002</v>
      </c>
      <c r="H2850" s="131"/>
    </row>
    <row r="2851" spans="1:13" ht="15" customHeight="1">
      <c r="A2851" s="131"/>
      <c r="B2851" s="131"/>
      <c r="C2851" s="131"/>
      <c r="D2851" s="131"/>
      <c r="E2851" s="131"/>
      <c r="F2851" s="412" t="s">
        <v>90</v>
      </c>
      <c r="G2851" s="396">
        <f>G2847+G2849</f>
        <v>13.24</v>
      </c>
      <c r="H2851" s="131"/>
    </row>
    <row r="2852" spans="1:13" ht="15" customHeight="1">
      <c r="A2852" s="131"/>
      <c r="B2852" s="131"/>
      <c r="C2852" s="131"/>
      <c r="D2852" s="131"/>
      <c r="E2852" s="131"/>
      <c r="F2852" s="412" t="s">
        <v>92</v>
      </c>
      <c r="G2852" s="396">
        <f>G2846+G2848+G2850</f>
        <v>418.85999999999996</v>
      </c>
      <c r="H2852" s="131"/>
    </row>
    <row r="2853" spans="1:13" ht="15" customHeight="1">
      <c r="A2853" s="413" t="s">
        <v>94</v>
      </c>
      <c r="B2853" s="131"/>
      <c r="C2853" s="131"/>
      <c r="D2853" s="131"/>
      <c r="E2853" s="131"/>
      <c r="F2853" s="412" t="s">
        <v>93</v>
      </c>
      <c r="G2853" s="881">
        <f>SUM(G2851:G2852)</f>
        <v>432.09999999999997</v>
      </c>
      <c r="H2853" s="131"/>
    </row>
    <row r="2854" spans="1:13" ht="15" customHeight="1">
      <c r="A2854" s="361" t="s">
        <v>95</v>
      </c>
      <c r="B2854" s="385">
        <f>G2853</f>
        <v>432.09999999999997</v>
      </c>
      <c r="C2854" s="131"/>
      <c r="D2854" s="131"/>
      <c r="E2854" s="131"/>
      <c r="F2854" s="132"/>
      <c r="G2854" s="132"/>
      <c r="H2854" s="131"/>
    </row>
    <row r="2855" spans="1:13" ht="15" customHeight="1">
      <c r="A2855" s="382" t="s">
        <v>2272</v>
      </c>
      <c r="B2855" s="381"/>
      <c r="C2855" s="131"/>
      <c r="D2855" s="131"/>
      <c r="E2855" s="131"/>
      <c r="F2855" s="132"/>
      <c r="G2855" s="132"/>
      <c r="H2855" s="131"/>
    </row>
    <row r="2856" spans="1:13" ht="15" customHeight="1">
      <c r="A2856" s="443" t="s">
        <v>2311</v>
      </c>
      <c r="B2856" s="381">
        <f>(B2854+B2855)*0.245</f>
        <v>105.86449999999999</v>
      </c>
      <c r="C2856" s="131"/>
      <c r="D2856" s="131"/>
      <c r="E2856" s="131"/>
      <c r="F2856" s="132"/>
      <c r="G2856" s="132"/>
      <c r="H2856" s="131"/>
    </row>
    <row r="2857" spans="1:13" ht="15" customHeight="1">
      <c r="A2857" s="361" t="s">
        <v>98</v>
      </c>
      <c r="B2857" s="386">
        <f>SUM(B2854:B2856)</f>
        <v>537.96449999999993</v>
      </c>
      <c r="C2857" s="131"/>
      <c r="D2857" s="131"/>
      <c r="E2857" s="131"/>
      <c r="F2857" s="132"/>
      <c r="G2857" s="132"/>
      <c r="H2857" s="408"/>
    </row>
    <row r="2858" spans="1:13">
      <c r="A2858" s="362"/>
      <c r="B2858" s="363"/>
      <c r="C2858" s="364"/>
      <c r="D2858" s="362"/>
      <c r="E2858" s="363"/>
      <c r="F2858" s="363"/>
      <c r="G2858" s="363"/>
      <c r="H2858" s="362"/>
    </row>
    <row r="2860" spans="1:13">
      <c r="A2860" s="122" t="s">
        <v>1287</v>
      </c>
      <c r="J2860" s="122" t="s">
        <v>1813</v>
      </c>
    </row>
    <row r="2861" spans="1:13" ht="15.75" customHeight="1">
      <c r="A2861" s="973" t="s">
        <v>2458</v>
      </c>
      <c r="B2861" s="410"/>
      <c r="C2861" s="410"/>
      <c r="D2861" s="410"/>
      <c r="E2861" s="410"/>
      <c r="F2861" s="410"/>
      <c r="G2861" s="410"/>
      <c r="H2861" s="410"/>
      <c r="J2861" s="122">
        <v>86895</v>
      </c>
      <c r="K2861" s="571" t="s">
        <v>1814</v>
      </c>
      <c r="M2861" s="571" t="s">
        <v>1814</v>
      </c>
    </row>
    <row r="2862" spans="1:13" ht="30" customHeight="1">
      <c r="A2862" s="452" t="s">
        <v>1548</v>
      </c>
      <c r="B2862" s="1136" t="s">
        <v>2361</v>
      </c>
      <c r="C2862" s="1136"/>
      <c r="D2862" s="452" t="s">
        <v>1452</v>
      </c>
      <c r="E2862" s="131"/>
      <c r="F2862" s="131"/>
      <c r="G2862" s="131"/>
      <c r="H2862" s="131"/>
      <c r="J2862" s="571" t="s">
        <v>1812</v>
      </c>
      <c r="K2862" s="571" t="s">
        <v>2362</v>
      </c>
      <c r="M2862" s="571" t="s">
        <v>2334</v>
      </c>
    </row>
    <row r="2863" spans="1:13" ht="28.5" customHeight="1">
      <c r="A2863" s="309" t="s">
        <v>30</v>
      </c>
      <c r="B2863" s="354" t="s">
        <v>19</v>
      </c>
      <c r="C2863" s="293" t="s">
        <v>81</v>
      </c>
      <c r="D2863" s="294" t="s">
        <v>77</v>
      </c>
      <c r="E2863" s="294" t="s">
        <v>82</v>
      </c>
      <c r="F2863" s="295" t="s">
        <v>83</v>
      </c>
      <c r="G2863" s="355" t="s">
        <v>84</v>
      </c>
      <c r="H2863" s="131"/>
      <c r="J2863" s="568">
        <f>0.5*0.6</f>
        <v>0.3</v>
      </c>
      <c r="K2863" s="639">
        <v>3.9125000000000001</v>
      </c>
      <c r="L2863" s="122" t="s">
        <v>100</v>
      </c>
      <c r="M2863" s="568">
        <f>2.38*0.4</f>
        <v>0.95199999999999996</v>
      </c>
    </row>
    <row r="2864" spans="1:13" ht="30.75" customHeight="1">
      <c r="A2864" s="492">
        <v>11795</v>
      </c>
      <c r="B2864" s="451" t="s">
        <v>1808</v>
      </c>
      <c r="C2864" s="395" t="s">
        <v>87</v>
      </c>
      <c r="D2864" s="395" t="s">
        <v>100</v>
      </c>
      <c r="E2864" s="636">
        <f>15.65/4</f>
        <v>3.9125000000000001</v>
      </c>
      <c r="F2864" s="882">
        <v>543.39</v>
      </c>
      <c r="G2864" s="435">
        <f t="shared" ref="G2864:G2873" si="102">TRUNC(E2864*F2864,2)</f>
        <v>2126.0100000000002</v>
      </c>
      <c r="H2864" s="131"/>
      <c r="J2864" s="571">
        <v>0.377</v>
      </c>
      <c r="K2864" s="572">
        <v>2.0015000000000001</v>
      </c>
      <c r="M2864" s="572">
        <f>($M$2863*J2864)/$J$2863</f>
        <v>1.1963466666666667</v>
      </c>
    </row>
    <row r="2865" spans="1:13" ht="15" customHeight="1">
      <c r="A2865" s="492">
        <v>37329</v>
      </c>
      <c r="B2865" s="451" t="s">
        <v>243</v>
      </c>
      <c r="C2865" s="395" t="s">
        <v>87</v>
      </c>
      <c r="D2865" s="395" t="s">
        <v>102</v>
      </c>
      <c r="E2865" s="395">
        <v>0.33500000000000002</v>
      </c>
      <c r="F2865" s="810">
        <v>57.59</v>
      </c>
      <c r="G2865" s="435">
        <f t="shared" si="102"/>
        <v>19.29</v>
      </c>
      <c r="H2865" s="131"/>
      <c r="J2865" s="569" t="s">
        <v>244</v>
      </c>
      <c r="K2865" s="572">
        <f t="shared" ref="K2865:K2875" si="103">($K$2863*J2865)/$J$2863</f>
        <v>0.33517083333333336</v>
      </c>
      <c r="M2865" s="572">
        <f>($M$2863*J2865)/$J$2863</f>
        <v>8.1554666666666664E-2</v>
      </c>
    </row>
    <row r="2866" spans="1:13" ht="24.75" customHeight="1">
      <c r="A2866" s="492">
        <v>37590</v>
      </c>
      <c r="B2866" s="451" t="s">
        <v>245</v>
      </c>
      <c r="C2866" s="395" t="s">
        <v>87</v>
      </c>
      <c r="D2866" s="395" t="s">
        <v>5</v>
      </c>
      <c r="E2866" s="406">
        <v>6</v>
      </c>
      <c r="F2866" s="857">
        <v>10.15</v>
      </c>
      <c r="G2866" s="435">
        <f t="shared" si="102"/>
        <v>60.9</v>
      </c>
      <c r="H2866" s="131"/>
      <c r="J2866" s="570">
        <v>2</v>
      </c>
      <c r="K2866" s="572">
        <f t="shared" si="103"/>
        <v>26.083333333333336</v>
      </c>
      <c r="M2866" s="572">
        <f>($M$2863*J2866)/$J$2863</f>
        <v>6.3466666666666667</v>
      </c>
    </row>
    <row r="2867" spans="1:13" ht="16.5" customHeight="1">
      <c r="A2867" s="492">
        <v>4823</v>
      </c>
      <c r="B2867" s="451" t="s">
        <v>246</v>
      </c>
      <c r="C2867" s="395" t="s">
        <v>87</v>
      </c>
      <c r="D2867" s="395" t="s">
        <v>102</v>
      </c>
      <c r="E2867" s="395">
        <v>5.0129999999999999</v>
      </c>
      <c r="F2867" s="857">
        <v>37.57</v>
      </c>
      <c r="G2867" s="435">
        <f t="shared" si="102"/>
        <v>188.33</v>
      </c>
      <c r="H2867" s="131"/>
      <c r="J2867" s="569" t="s">
        <v>247</v>
      </c>
      <c r="K2867" s="572">
        <f t="shared" si="103"/>
        <v>5.0132166666666675</v>
      </c>
      <c r="M2867" s="572">
        <f>($M$2863*J2867)/$J$2863</f>
        <v>1.2198293333333334</v>
      </c>
    </row>
    <row r="2868" spans="1:13" ht="36.75" customHeight="1">
      <c r="A2868" s="492">
        <v>7568</v>
      </c>
      <c r="B2868" s="446" t="s">
        <v>249</v>
      </c>
      <c r="C2868" s="395" t="s">
        <v>87</v>
      </c>
      <c r="D2868" s="395" t="s">
        <v>1452</v>
      </c>
      <c r="E2868" s="406">
        <v>18</v>
      </c>
      <c r="F2868" s="857">
        <v>0.43</v>
      </c>
      <c r="G2868" s="435">
        <f t="shared" si="102"/>
        <v>7.74</v>
      </c>
      <c r="H2868" s="131"/>
      <c r="J2868" s="570">
        <v>6</v>
      </c>
      <c r="K2868" s="572">
        <f t="shared" si="103"/>
        <v>78.250000000000014</v>
      </c>
      <c r="M2868" s="572">
        <f>($M$2863*J2868)/$J$2863</f>
        <v>19.04</v>
      </c>
    </row>
    <row r="2869" spans="1:13" ht="15" customHeight="1">
      <c r="A2869" s="1145">
        <v>86877</v>
      </c>
      <c r="B2869" s="1147" t="s">
        <v>2335</v>
      </c>
      <c r="C2869" s="395" t="s">
        <v>104</v>
      </c>
      <c r="D2869" s="1143" t="s">
        <v>1452</v>
      </c>
      <c r="E2869" s="1206">
        <v>1</v>
      </c>
      <c r="F2869" s="810">
        <v>4.33</v>
      </c>
      <c r="G2869" s="435">
        <f t="shared" si="102"/>
        <v>4.33</v>
      </c>
      <c r="H2869" s="131"/>
      <c r="J2869" s="570"/>
      <c r="K2869" s="572"/>
      <c r="M2869" s="572"/>
    </row>
    <row r="2870" spans="1:13" ht="15" customHeight="1">
      <c r="A2870" s="1146"/>
      <c r="B2870" s="1148"/>
      <c r="C2870" s="395" t="s">
        <v>87</v>
      </c>
      <c r="D2870" s="1144"/>
      <c r="E2870" s="1207"/>
      <c r="F2870" s="810">
        <v>21.66</v>
      </c>
      <c r="G2870" s="435">
        <f>TRUNC(E2869*F2870,2)</f>
        <v>21.66</v>
      </c>
      <c r="H2870" s="131"/>
      <c r="J2870" s="570"/>
      <c r="K2870" s="572"/>
      <c r="M2870" s="572"/>
    </row>
    <row r="2871" spans="1:13" ht="15" customHeight="1">
      <c r="A2871" s="1145">
        <v>86883</v>
      </c>
      <c r="B2871" s="1147" t="s">
        <v>2336</v>
      </c>
      <c r="C2871" s="395" t="s">
        <v>104</v>
      </c>
      <c r="D2871" s="1143" t="s">
        <v>1452</v>
      </c>
      <c r="E2871" s="1206">
        <v>1</v>
      </c>
      <c r="F2871" s="810">
        <v>2.1</v>
      </c>
      <c r="G2871" s="435">
        <f t="shared" si="102"/>
        <v>2.1</v>
      </c>
      <c r="H2871" s="131"/>
      <c r="J2871" s="570"/>
      <c r="K2871" s="572"/>
      <c r="M2871" s="572"/>
    </row>
    <row r="2872" spans="1:13" ht="15" customHeight="1">
      <c r="A2872" s="1146"/>
      <c r="B2872" s="1148"/>
      <c r="C2872" s="395" t="s">
        <v>87</v>
      </c>
      <c r="D2872" s="1144"/>
      <c r="E2872" s="1207"/>
      <c r="F2872" s="810">
        <v>8.14</v>
      </c>
      <c r="G2872" s="435">
        <f>TRUNC(E2871*F2872,2)</f>
        <v>8.14</v>
      </c>
      <c r="H2872" s="131"/>
      <c r="J2872" s="570"/>
      <c r="K2872" s="572"/>
      <c r="M2872" s="572"/>
    </row>
    <row r="2873" spans="1:13" ht="15" customHeight="1">
      <c r="A2873" s="1145">
        <v>88274</v>
      </c>
      <c r="B2873" s="1147" t="s">
        <v>252</v>
      </c>
      <c r="C2873" s="395" t="s">
        <v>104</v>
      </c>
      <c r="D2873" s="1143" t="s">
        <v>383</v>
      </c>
      <c r="E2873" s="1206">
        <v>9.6</v>
      </c>
      <c r="F2873" s="810">
        <f>'COMP AUX'!G406</f>
        <v>15.280000000000001</v>
      </c>
      <c r="G2873" s="435">
        <f t="shared" si="102"/>
        <v>146.68</v>
      </c>
      <c r="H2873" s="131"/>
      <c r="J2873" s="569" t="s">
        <v>253</v>
      </c>
      <c r="K2873" s="572">
        <f t="shared" si="103"/>
        <v>25.04</v>
      </c>
      <c r="M2873" s="572">
        <f>($M$2863*J2873)/$J$2863</f>
        <v>6.0927999999999995</v>
      </c>
    </row>
    <row r="2874" spans="1:13" ht="15" customHeight="1">
      <c r="A2874" s="1146"/>
      <c r="B2874" s="1148"/>
      <c r="C2874" s="395" t="s">
        <v>87</v>
      </c>
      <c r="D2874" s="1144"/>
      <c r="E2874" s="1207"/>
      <c r="F2874" s="810">
        <f>'COMP AUX'!G407</f>
        <v>4.79</v>
      </c>
      <c r="G2874" s="435">
        <f>TRUNC(E2873*F2874,2)</f>
        <v>45.98</v>
      </c>
      <c r="H2874" s="131"/>
      <c r="J2874" s="569"/>
      <c r="K2874" s="572"/>
      <c r="M2874" s="572"/>
    </row>
    <row r="2875" spans="1:13" ht="15" customHeight="1">
      <c r="A2875" s="1145">
        <v>88316</v>
      </c>
      <c r="B2875" s="1147" t="s">
        <v>110</v>
      </c>
      <c r="C2875" s="395" t="s">
        <v>104</v>
      </c>
      <c r="D2875" s="1143" t="s">
        <v>383</v>
      </c>
      <c r="E2875" s="1206">
        <v>4.9000000000000004</v>
      </c>
      <c r="F2875" s="810">
        <f>'COMP AUX'!G104</f>
        <v>11.18</v>
      </c>
      <c r="G2875" s="435">
        <f>TRUNC(E2875*F2875,2)</f>
        <v>54.78</v>
      </c>
      <c r="H2875" s="131"/>
      <c r="J2875" s="569" t="s">
        <v>255</v>
      </c>
      <c r="K2875" s="572">
        <f t="shared" si="103"/>
        <v>12.780833333333334</v>
      </c>
      <c r="M2875" s="572">
        <f>($M$2863*J2875)/$J$2863</f>
        <v>3.1098666666666666</v>
      </c>
    </row>
    <row r="2876" spans="1:13" ht="15" customHeight="1">
      <c r="A2876" s="1146"/>
      <c r="B2876" s="1148"/>
      <c r="C2876" s="395" t="s">
        <v>87</v>
      </c>
      <c r="D2876" s="1144"/>
      <c r="E2876" s="1207"/>
      <c r="F2876" s="810">
        <f>'COMP AUX'!G105</f>
        <v>4.7300000000000004</v>
      </c>
      <c r="G2876" s="435">
        <f>TRUNC(E2875*F2876,2)</f>
        <v>23.17</v>
      </c>
      <c r="H2876" s="131"/>
      <c r="J2876" s="569"/>
      <c r="K2876" s="572"/>
    </row>
    <row r="2877" spans="1:13" ht="15" customHeight="1">
      <c r="A2877" s="131"/>
      <c r="B2877" s="131"/>
      <c r="C2877" s="131"/>
      <c r="D2877" s="131"/>
      <c r="E2877" s="131"/>
      <c r="F2877" s="412" t="s">
        <v>90</v>
      </c>
      <c r="G2877" s="435">
        <f>G2873+G2875+G2871+G2869</f>
        <v>207.89000000000001</v>
      </c>
      <c r="H2877" s="131"/>
    </row>
    <row r="2878" spans="1:13" ht="15" customHeight="1">
      <c r="A2878" s="131"/>
      <c r="B2878" s="131"/>
      <c r="C2878" s="131"/>
      <c r="D2878" s="131"/>
      <c r="E2878" s="131"/>
      <c r="F2878" s="412" t="s">
        <v>92</v>
      </c>
      <c r="G2878" s="435">
        <f>G2864+G2865+G2866+G2867+G2868++G2870+G2872+G2874+G2876</f>
        <v>2501.2199999999998</v>
      </c>
      <c r="H2878" s="131"/>
      <c r="K2878" s="122">
        <f>2.5*0.6*4</f>
        <v>6</v>
      </c>
    </row>
    <row r="2879" spans="1:13" ht="15" customHeight="1">
      <c r="A2879" s="413" t="s">
        <v>94</v>
      </c>
      <c r="B2879" s="131"/>
      <c r="C2879" s="131"/>
      <c r="D2879" s="131"/>
      <c r="E2879" s="131"/>
      <c r="F2879" s="412" t="s">
        <v>93</v>
      </c>
      <c r="G2879" s="883">
        <f>SUM(G2877:G2878)</f>
        <v>2709.1099999999997</v>
      </c>
      <c r="H2879" s="131"/>
      <c r="K2879" s="122">
        <f>2.38*0.4*4</f>
        <v>3.8079999999999998</v>
      </c>
    </row>
    <row r="2880" spans="1:13" ht="15" customHeight="1">
      <c r="A2880" s="361" t="s">
        <v>95</v>
      </c>
      <c r="B2880" s="466">
        <f>G2879</f>
        <v>2709.1099999999997</v>
      </c>
      <c r="C2880" s="131"/>
      <c r="D2880" s="131"/>
      <c r="E2880" s="131"/>
      <c r="F2880" s="132"/>
      <c r="G2880" s="132"/>
      <c r="H2880" s="131"/>
    </row>
    <row r="2881" spans="1:10" ht="15" customHeight="1">
      <c r="A2881" s="382" t="s">
        <v>2272</v>
      </c>
      <c r="B2881" s="381"/>
      <c r="C2881" s="131"/>
      <c r="D2881" s="131"/>
      <c r="E2881" s="131"/>
      <c r="F2881" s="132"/>
      <c r="G2881" s="132"/>
      <c r="H2881" s="131"/>
    </row>
    <row r="2882" spans="1:10" ht="15" customHeight="1">
      <c r="A2882" s="443" t="s">
        <v>2311</v>
      </c>
      <c r="B2882" s="381">
        <f>(B2880+B2881)*0.245</f>
        <v>663.73194999999987</v>
      </c>
      <c r="C2882" s="131"/>
      <c r="D2882" s="131"/>
      <c r="E2882" s="131"/>
      <c r="F2882" s="132">
        <f>9177.78/15.65</f>
        <v>586.43961661341859</v>
      </c>
      <c r="G2882" s="132"/>
      <c r="H2882" s="131"/>
    </row>
    <row r="2883" spans="1:10" ht="15" customHeight="1">
      <c r="A2883" s="361" t="s">
        <v>98</v>
      </c>
      <c r="B2883" s="467">
        <f>SUM(B2880:B2882)</f>
        <v>3372.8419499999995</v>
      </c>
      <c r="C2883" s="131"/>
      <c r="D2883" s="131"/>
      <c r="E2883" s="131"/>
      <c r="F2883" s="132"/>
      <c r="G2883" s="132"/>
      <c r="H2883" s="408"/>
      <c r="I2883" s="122" t="s">
        <v>2273</v>
      </c>
    </row>
    <row r="2884" spans="1:10">
      <c r="A2884" s="362"/>
      <c r="B2884" s="363"/>
      <c r="C2884" s="364"/>
      <c r="D2884" s="362"/>
      <c r="E2884" s="363"/>
      <c r="F2884" s="363"/>
      <c r="G2884" s="363"/>
      <c r="H2884" s="362"/>
    </row>
    <row r="2886" spans="1:10">
      <c r="A2886" s="122" t="s">
        <v>1287</v>
      </c>
    </row>
    <row r="2887" spans="1:10">
      <c r="A2887" s="1232" t="s">
        <v>2354</v>
      </c>
      <c r="B2887" s="1233"/>
      <c r="C2887" s="1233"/>
      <c r="D2887" s="1233"/>
      <c r="E2887" s="1233"/>
      <c r="F2887" s="1233"/>
      <c r="G2887" s="1233"/>
      <c r="H2887" s="1233"/>
    </row>
    <row r="2888" spans="1:10" ht="22.5" customHeight="1">
      <c r="A2888" s="452" t="s">
        <v>1548</v>
      </c>
      <c r="B2888" s="634" t="s">
        <v>2344</v>
      </c>
      <c r="C2888" s="635" t="s">
        <v>1487</v>
      </c>
      <c r="E2888" s="131"/>
      <c r="F2888" s="131"/>
      <c r="G2888" s="131"/>
      <c r="H2888" s="131"/>
    </row>
    <row r="2889" spans="1:10" ht="25.5" customHeight="1">
      <c r="A2889" s="309" t="s">
        <v>30</v>
      </c>
      <c r="B2889" s="354" t="s">
        <v>19</v>
      </c>
      <c r="C2889" s="293" t="s">
        <v>81</v>
      </c>
      <c r="D2889" s="294" t="s">
        <v>77</v>
      </c>
      <c r="E2889" s="294" t="s">
        <v>82</v>
      </c>
      <c r="F2889" s="295" t="s">
        <v>83</v>
      </c>
      <c r="G2889" s="355" t="s">
        <v>84</v>
      </c>
      <c r="H2889" s="131"/>
      <c r="J2889" s="122">
        <v>86895</v>
      </c>
    </row>
    <row r="2890" spans="1:10" ht="36.75" customHeight="1">
      <c r="A2890" s="492">
        <v>4350</v>
      </c>
      <c r="B2890" s="451" t="s">
        <v>2348</v>
      </c>
      <c r="C2890" s="395" t="s">
        <v>87</v>
      </c>
      <c r="D2890" s="395" t="s">
        <v>381</v>
      </c>
      <c r="E2890" s="406">
        <v>4</v>
      </c>
      <c r="F2890" s="857">
        <v>0.44</v>
      </c>
      <c r="G2890" s="435">
        <f t="shared" ref="G2890:G2892" si="104">TRUNC(E2890*F2890,2)</f>
        <v>1.76</v>
      </c>
      <c r="H2890" s="131"/>
    </row>
    <row r="2891" spans="1:10" ht="21.75" customHeight="1">
      <c r="A2891" s="492">
        <v>34666</v>
      </c>
      <c r="B2891" s="451" t="s">
        <v>2353</v>
      </c>
      <c r="C2891" s="395" t="s">
        <v>87</v>
      </c>
      <c r="D2891" s="395" t="s">
        <v>1487</v>
      </c>
      <c r="E2891" s="395">
        <v>1.05</v>
      </c>
      <c r="F2891" s="810">
        <v>56.43</v>
      </c>
      <c r="G2891" s="435">
        <f t="shared" si="104"/>
        <v>59.25</v>
      </c>
      <c r="H2891" s="131"/>
    </row>
    <row r="2892" spans="1:10" ht="14.1" customHeight="1">
      <c r="A2892" s="1145">
        <v>88262</v>
      </c>
      <c r="B2892" s="1147" t="s">
        <v>1751</v>
      </c>
      <c r="C2892" s="395" t="s">
        <v>104</v>
      </c>
      <c r="D2892" s="1143" t="s">
        <v>383</v>
      </c>
      <c r="E2892" s="1198">
        <v>1.35</v>
      </c>
      <c r="F2892" s="810">
        <f>'COMP AUX'!G87</f>
        <v>14.92</v>
      </c>
      <c r="G2892" s="435">
        <f t="shared" si="104"/>
        <v>20.14</v>
      </c>
      <c r="H2892" s="131"/>
    </row>
    <row r="2893" spans="1:10" ht="14.1" customHeight="1">
      <c r="A2893" s="1146"/>
      <c r="B2893" s="1148"/>
      <c r="C2893" s="395" t="s">
        <v>87</v>
      </c>
      <c r="D2893" s="1144"/>
      <c r="E2893" s="1199"/>
      <c r="F2893" s="810">
        <f>'COMP AUX'!G88</f>
        <v>4.75</v>
      </c>
      <c r="G2893" s="435">
        <f>TRUNC(E2892*F2893,2)</f>
        <v>6.41</v>
      </c>
      <c r="H2893" s="131"/>
    </row>
    <row r="2894" spans="1:10" ht="14.1" customHeight="1">
      <c r="A2894" s="1145">
        <v>88241</v>
      </c>
      <c r="B2894" s="1147" t="s">
        <v>2331</v>
      </c>
      <c r="C2894" s="395" t="s">
        <v>104</v>
      </c>
      <c r="D2894" s="1143" t="s">
        <v>383</v>
      </c>
      <c r="E2894" s="1206">
        <v>1.35</v>
      </c>
      <c r="F2894" s="810">
        <f>'COMP AUX'!G53</f>
        <v>10.76</v>
      </c>
      <c r="G2894" s="435">
        <f>TRUNC(E2894*F2894,2)</f>
        <v>14.52</v>
      </c>
      <c r="H2894" s="131"/>
    </row>
    <row r="2895" spans="1:10" ht="14.1" customHeight="1">
      <c r="A2895" s="1146"/>
      <c r="B2895" s="1148"/>
      <c r="C2895" s="395" t="s">
        <v>87</v>
      </c>
      <c r="D2895" s="1144"/>
      <c r="E2895" s="1207"/>
      <c r="F2895" s="810">
        <f>'COMP AUX'!G54</f>
        <v>4.79</v>
      </c>
      <c r="G2895" s="435">
        <f>TRUNC(E2894*F2895,2)</f>
        <v>6.46</v>
      </c>
      <c r="H2895" s="131"/>
    </row>
    <row r="2896" spans="1:10" ht="14.1" customHeight="1">
      <c r="A2896" s="131"/>
      <c r="B2896" s="131"/>
      <c r="C2896" s="131"/>
      <c r="D2896" s="131"/>
      <c r="E2896" s="131"/>
      <c r="F2896" s="412" t="s">
        <v>90</v>
      </c>
      <c r="G2896" s="435">
        <f>G2892+G2894</f>
        <v>34.659999999999997</v>
      </c>
      <c r="H2896" s="131"/>
    </row>
    <row r="2897" spans="1:8" ht="14.1" customHeight="1">
      <c r="A2897" s="131"/>
      <c r="B2897" s="131"/>
      <c r="C2897" s="131"/>
      <c r="D2897" s="131"/>
      <c r="E2897" s="131"/>
      <c r="F2897" s="412" t="s">
        <v>92</v>
      </c>
      <c r="G2897" s="435">
        <f>G2890+G2891+G2893+G2895</f>
        <v>73.88</v>
      </c>
      <c r="H2897" s="131"/>
    </row>
    <row r="2898" spans="1:8" ht="14.1" customHeight="1">
      <c r="A2898" s="413" t="s">
        <v>94</v>
      </c>
      <c r="B2898" s="131"/>
      <c r="C2898" s="131"/>
      <c r="D2898" s="131"/>
      <c r="E2898" s="131"/>
      <c r="F2898" s="412" t="s">
        <v>93</v>
      </c>
      <c r="G2898" s="883">
        <f>SUM(G2896:G2897)</f>
        <v>108.53999999999999</v>
      </c>
      <c r="H2898" s="131"/>
    </row>
    <row r="2899" spans="1:8" ht="14.1" customHeight="1">
      <c r="A2899" s="361" t="s">
        <v>95</v>
      </c>
      <c r="B2899" s="466">
        <f>G2898</f>
        <v>108.53999999999999</v>
      </c>
      <c r="C2899" s="131"/>
      <c r="D2899" s="131"/>
      <c r="E2899" s="131"/>
      <c r="F2899" s="132"/>
      <c r="G2899" s="132"/>
      <c r="H2899" s="131"/>
    </row>
    <row r="2900" spans="1:8" ht="14.1" customHeight="1">
      <c r="A2900" s="382" t="s">
        <v>2272</v>
      </c>
      <c r="B2900" s="381"/>
      <c r="C2900" s="131"/>
      <c r="D2900" s="131"/>
      <c r="E2900" s="131"/>
      <c r="F2900" s="132"/>
      <c r="G2900" s="132"/>
      <c r="H2900" s="131"/>
    </row>
    <row r="2901" spans="1:8" ht="14.1" customHeight="1">
      <c r="A2901" s="443" t="s">
        <v>2311</v>
      </c>
      <c r="B2901" s="381">
        <f>(B2899+B2900)*0.245</f>
        <v>26.592299999999998</v>
      </c>
      <c r="C2901" s="131"/>
      <c r="D2901" s="131"/>
      <c r="E2901" s="131"/>
      <c r="F2901" s="132"/>
      <c r="G2901" s="132"/>
      <c r="H2901" s="131"/>
    </row>
    <row r="2902" spans="1:8" ht="14.1" customHeight="1">
      <c r="A2902" s="361" t="s">
        <v>98</v>
      </c>
      <c r="B2902" s="467">
        <f>SUM(B2899:B2901)</f>
        <v>135.13229999999999</v>
      </c>
      <c r="C2902" s="131"/>
      <c r="D2902" s="131"/>
      <c r="E2902" s="131"/>
      <c r="F2902" s="132"/>
      <c r="G2902" s="132"/>
      <c r="H2902" s="408"/>
    </row>
    <row r="2903" spans="1:8">
      <c r="A2903" s="362"/>
      <c r="B2903" s="363"/>
      <c r="C2903" s="364"/>
      <c r="D2903" s="362"/>
      <c r="E2903" s="363"/>
      <c r="F2903" s="363"/>
      <c r="G2903" s="363"/>
      <c r="H2903" s="362"/>
    </row>
    <row r="2905" spans="1:8">
      <c r="A2905" s="826" t="s">
        <v>2710</v>
      </c>
    </row>
    <row r="2906" spans="1:8">
      <c r="A2906" s="973" t="s">
        <v>2460</v>
      </c>
      <c r="B2906" s="950"/>
      <c r="C2906" s="950"/>
      <c r="D2906" s="950"/>
      <c r="E2906" s="950"/>
      <c r="F2906" s="950"/>
      <c r="G2906" s="950"/>
      <c r="H2906" s="950"/>
    </row>
    <row r="2907" spans="1:8" ht="35.25" customHeight="1">
      <c r="A2907" s="452" t="s">
        <v>1548</v>
      </c>
      <c r="B2907" s="1214" t="s">
        <v>2356</v>
      </c>
      <c r="C2907" s="1214"/>
      <c r="D2907" s="629" t="s">
        <v>1452</v>
      </c>
      <c r="E2907" s="131"/>
      <c r="F2907" s="131"/>
      <c r="G2907" s="131"/>
      <c r="H2907" s="131"/>
    </row>
    <row r="2908" spans="1:8" ht="20.399999999999999">
      <c r="A2908" s="309" t="s">
        <v>30</v>
      </c>
      <c r="B2908" s="354" t="s">
        <v>19</v>
      </c>
      <c r="C2908" s="293" t="s">
        <v>81</v>
      </c>
      <c r="D2908" s="294" t="s">
        <v>77</v>
      </c>
      <c r="E2908" s="294" t="s">
        <v>82</v>
      </c>
      <c r="F2908" s="295" t="s">
        <v>83</v>
      </c>
      <c r="G2908" s="355" t="s">
        <v>84</v>
      </c>
      <c r="H2908" s="131"/>
    </row>
    <row r="2909" spans="1:8" ht="15" customHeight="1">
      <c r="A2909" s="1145">
        <v>86877</v>
      </c>
      <c r="B2909" s="1147" t="s">
        <v>2335</v>
      </c>
      <c r="C2909" s="395" t="s">
        <v>104</v>
      </c>
      <c r="D2909" s="1143" t="s">
        <v>381</v>
      </c>
      <c r="E2909" s="1198">
        <v>1</v>
      </c>
      <c r="F2909" s="810">
        <v>4.33</v>
      </c>
      <c r="G2909" s="435">
        <f t="shared" ref="G2909:G2913" si="105">TRUNC(E2909*F2909,2)</f>
        <v>4.33</v>
      </c>
      <c r="H2909" s="131"/>
    </row>
    <row r="2910" spans="1:8" ht="15" customHeight="1">
      <c r="A2910" s="1146"/>
      <c r="B2910" s="1148"/>
      <c r="C2910" s="395" t="s">
        <v>87</v>
      </c>
      <c r="D2910" s="1144"/>
      <c r="E2910" s="1199"/>
      <c r="F2910" s="810">
        <v>21.66</v>
      </c>
      <c r="G2910" s="435">
        <f>TRUNC(E2909*F2910,2)</f>
        <v>21.66</v>
      </c>
      <c r="H2910" s="131"/>
    </row>
    <row r="2911" spans="1:8" ht="15" customHeight="1">
      <c r="A2911" s="1145">
        <v>86883</v>
      </c>
      <c r="B2911" s="1147" t="s">
        <v>2336</v>
      </c>
      <c r="C2911" s="395" t="s">
        <v>104</v>
      </c>
      <c r="D2911" s="1143" t="s">
        <v>381</v>
      </c>
      <c r="E2911" s="1198">
        <v>1</v>
      </c>
      <c r="F2911" s="810">
        <v>2.1</v>
      </c>
      <c r="G2911" s="435">
        <f t="shared" si="105"/>
        <v>2.1</v>
      </c>
      <c r="H2911" s="131"/>
    </row>
    <row r="2912" spans="1:8" ht="15" customHeight="1">
      <c r="A2912" s="1146"/>
      <c r="B2912" s="1148"/>
      <c r="C2912" s="395" t="s">
        <v>87</v>
      </c>
      <c r="D2912" s="1144"/>
      <c r="E2912" s="1199"/>
      <c r="F2912" s="810">
        <v>8.14</v>
      </c>
      <c r="G2912" s="435">
        <f>TRUNC(E2911*F2912,2)</f>
        <v>8.14</v>
      </c>
      <c r="H2912" s="131"/>
    </row>
    <row r="2913" spans="1:8" ht="15" customHeight="1">
      <c r="A2913" s="1145" t="s">
        <v>2461</v>
      </c>
      <c r="B2913" s="1147" t="s">
        <v>2357</v>
      </c>
      <c r="C2913" s="395" t="s">
        <v>104</v>
      </c>
      <c r="D2913" s="1143" t="s">
        <v>381</v>
      </c>
      <c r="E2913" s="1198">
        <v>1</v>
      </c>
      <c r="F2913" s="810">
        <f>'COMP AUX'!G2255</f>
        <v>1.57</v>
      </c>
      <c r="G2913" s="435">
        <f t="shared" si="105"/>
        <v>1.57</v>
      </c>
      <c r="H2913" s="131"/>
    </row>
    <row r="2914" spans="1:8" ht="15" customHeight="1">
      <c r="A2914" s="1146"/>
      <c r="B2914" s="1148"/>
      <c r="C2914" s="395" t="s">
        <v>87</v>
      </c>
      <c r="D2914" s="1144"/>
      <c r="E2914" s="1199"/>
      <c r="F2914" s="810">
        <f>'COMP AUX'!G2256</f>
        <v>620.18999999999994</v>
      </c>
      <c r="G2914" s="435">
        <f>TRUNC(E2913*F2914,2)</f>
        <v>620.19000000000005</v>
      </c>
      <c r="H2914" s="131"/>
    </row>
    <row r="2915" spans="1:8" ht="15" customHeight="1">
      <c r="A2915" s="131"/>
      <c r="B2915" s="131"/>
      <c r="C2915" s="131"/>
      <c r="D2915" s="131"/>
      <c r="E2915" s="131"/>
      <c r="F2915" s="412" t="s">
        <v>90</v>
      </c>
      <c r="G2915" s="435">
        <f>G2909+G2911+G2913</f>
        <v>8</v>
      </c>
      <c r="H2915" s="131"/>
    </row>
    <row r="2916" spans="1:8" ht="15" customHeight="1">
      <c r="A2916" s="131"/>
      <c r="B2916" s="131"/>
      <c r="C2916" s="131"/>
      <c r="D2916" s="131"/>
      <c r="E2916" s="131"/>
      <c r="F2916" s="412" t="s">
        <v>92</v>
      </c>
      <c r="G2916" s="435">
        <f>G2910+G2912+G2914</f>
        <v>649.99</v>
      </c>
      <c r="H2916" s="131"/>
    </row>
    <row r="2917" spans="1:8" ht="15" customHeight="1">
      <c r="A2917" s="413" t="s">
        <v>94</v>
      </c>
      <c r="B2917" s="131"/>
      <c r="C2917" s="131"/>
      <c r="D2917" s="131"/>
      <c r="E2917" s="131"/>
      <c r="F2917" s="412" t="s">
        <v>93</v>
      </c>
      <c r="G2917" s="883">
        <f>SUM(G2915:G2916)</f>
        <v>657.99</v>
      </c>
      <c r="H2917" s="131"/>
    </row>
    <row r="2918" spans="1:8" ht="15" customHeight="1">
      <c r="A2918" s="361" t="s">
        <v>95</v>
      </c>
      <c r="B2918" s="466">
        <f>G2917</f>
        <v>657.99</v>
      </c>
      <c r="C2918" s="131"/>
      <c r="D2918" s="131"/>
      <c r="E2918" s="131"/>
      <c r="F2918" s="132"/>
      <c r="G2918" s="132"/>
      <c r="H2918" s="131"/>
    </row>
    <row r="2919" spans="1:8" ht="15" customHeight="1">
      <c r="A2919" s="382" t="s">
        <v>2272</v>
      </c>
      <c r="B2919" s="381"/>
      <c r="C2919" s="131"/>
      <c r="D2919" s="131"/>
      <c r="E2919" s="131"/>
      <c r="F2919" s="132"/>
      <c r="G2919" s="132"/>
      <c r="H2919" s="131"/>
    </row>
    <row r="2920" spans="1:8" ht="15" customHeight="1">
      <c r="A2920" s="443" t="s">
        <v>2311</v>
      </c>
      <c r="B2920" s="381">
        <f>(B2918+B2919)*0.245</f>
        <v>161.20755</v>
      </c>
      <c r="C2920" s="131"/>
      <c r="D2920" s="131"/>
      <c r="E2920" s="131"/>
      <c r="F2920" s="132"/>
      <c r="G2920" s="132"/>
      <c r="H2920" s="131"/>
    </row>
    <row r="2921" spans="1:8" ht="15" customHeight="1">
      <c r="A2921" s="361" t="s">
        <v>98</v>
      </c>
      <c r="B2921" s="467">
        <f>SUM(B2918:B2920)</f>
        <v>819.19754999999998</v>
      </c>
      <c r="C2921" s="131"/>
      <c r="D2921" s="131"/>
      <c r="E2921" s="131"/>
      <c r="F2921" s="132"/>
      <c r="G2921" s="132"/>
      <c r="H2921" s="408"/>
    </row>
    <row r="2922" spans="1:8">
      <c r="A2922" s="362"/>
      <c r="B2922" s="363"/>
      <c r="C2922" s="364"/>
      <c r="D2922" s="362"/>
      <c r="E2922" s="363"/>
      <c r="F2922" s="363"/>
      <c r="G2922" s="363"/>
      <c r="H2922" s="362"/>
    </row>
    <row r="2924" spans="1:8" ht="14.25" customHeight="1">
      <c r="A2924" s="826" t="s">
        <v>2710</v>
      </c>
    </row>
    <row r="2925" spans="1:8" ht="15" customHeight="1">
      <c r="A2925" s="949" t="s">
        <v>2926</v>
      </c>
      <c r="B2925" s="950"/>
      <c r="C2925" s="950"/>
      <c r="D2925" s="950"/>
      <c r="E2925" s="950"/>
      <c r="F2925" s="950"/>
      <c r="G2925" s="950"/>
      <c r="H2925" s="950"/>
    </row>
    <row r="2926" spans="1:8" ht="36" customHeight="1">
      <c r="A2926" s="452" t="s">
        <v>1548</v>
      </c>
      <c r="B2926" s="1136" t="s">
        <v>2927</v>
      </c>
      <c r="C2926" s="1136"/>
      <c r="D2926" s="1136"/>
      <c r="E2926" s="411" t="s">
        <v>1452</v>
      </c>
      <c r="F2926" s="952"/>
      <c r="G2926" s="952"/>
      <c r="H2926" s="952"/>
    </row>
    <row r="2927" spans="1:8" ht="20.399999999999999">
      <c r="A2927" s="945" t="s">
        <v>30</v>
      </c>
      <c r="B2927" s="354" t="s">
        <v>19</v>
      </c>
      <c r="C2927" s="293" t="s">
        <v>81</v>
      </c>
      <c r="D2927" s="908" t="s">
        <v>77</v>
      </c>
      <c r="E2927" s="908" t="s">
        <v>82</v>
      </c>
      <c r="F2927" s="909" t="s">
        <v>83</v>
      </c>
      <c r="G2927" s="355" t="s">
        <v>84</v>
      </c>
      <c r="H2927" s="952"/>
    </row>
    <row r="2928" spans="1:8" ht="20.399999999999999">
      <c r="A2928" s="449">
        <v>86872</v>
      </c>
      <c r="B2928" s="451" t="s">
        <v>2928</v>
      </c>
      <c r="C2928" s="395" t="s">
        <v>108</v>
      </c>
      <c r="D2928" s="395" t="s">
        <v>5</v>
      </c>
      <c r="E2928" s="395" t="s">
        <v>101</v>
      </c>
      <c r="F2928" s="395">
        <v>586.80999999999995</v>
      </c>
      <c r="G2928" s="445">
        <f t="shared" ref="G2928:G2931" si="106">TRUNC(E2928*F2928,2)</f>
        <v>586.80999999999995</v>
      </c>
      <c r="H2928" s="952"/>
    </row>
    <row r="2929" spans="1:8" ht="20.399999999999999">
      <c r="A2929" s="449">
        <v>86877</v>
      </c>
      <c r="B2929" s="451" t="s">
        <v>2929</v>
      </c>
      <c r="C2929" s="395" t="s">
        <v>108</v>
      </c>
      <c r="D2929" s="395" t="s">
        <v>5</v>
      </c>
      <c r="E2929" s="395" t="s">
        <v>101</v>
      </c>
      <c r="F2929" s="395">
        <v>25.99</v>
      </c>
      <c r="G2929" s="445">
        <f t="shared" si="106"/>
        <v>25.99</v>
      </c>
      <c r="H2929" s="952"/>
    </row>
    <row r="2930" spans="1:8" ht="20.399999999999999">
      <c r="A2930" s="449">
        <v>86883</v>
      </c>
      <c r="B2930" s="451" t="s">
        <v>2930</v>
      </c>
      <c r="C2930" s="395" t="s">
        <v>108</v>
      </c>
      <c r="D2930" s="395" t="s">
        <v>5</v>
      </c>
      <c r="E2930" s="395" t="s">
        <v>101</v>
      </c>
      <c r="F2930" s="395">
        <v>10.24</v>
      </c>
      <c r="G2930" s="445">
        <f t="shared" si="106"/>
        <v>10.24</v>
      </c>
      <c r="H2930" s="952"/>
    </row>
    <row r="2931" spans="1:8" ht="20.399999999999999">
      <c r="A2931" s="492">
        <v>86914</v>
      </c>
      <c r="B2931" s="451" t="s">
        <v>2931</v>
      </c>
      <c r="C2931" s="395" t="s">
        <v>108</v>
      </c>
      <c r="D2931" s="395" t="s">
        <v>5</v>
      </c>
      <c r="E2931" s="395" t="s">
        <v>101</v>
      </c>
      <c r="F2931" s="395">
        <v>38.56</v>
      </c>
      <c r="G2931" s="445">
        <f t="shared" si="106"/>
        <v>38.56</v>
      </c>
      <c r="H2931" s="952"/>
    </row>
    <row r="2932" spans="1:8" ht="14.1" customHeight="1">
      <c r="A2932" s="952"/>
      <c r="B2932" s="952"/>
      <c r="C2932" s="952"/>
      <c r="D2932" s="952"/>
      <c r="E2932" s="952"/>
      <c r="F2932" s="447" t="s">
        <v>90</v>
      </c>
      <c r="G2932" s="444">
        <v>57.73</v>
      </c>
      <c r="H2932" s="952"/>
    </row>
    <row r="2933" spans="1:8" ht="14.1" customHeight="1">
      <c r="A2933" s="952"/>
      <c r="B2933" s="952"/>
      <c r="C2933" s="952"/>
      <c r="D2933" s="952"/>
      <c r="E2933" s="952"/>
      <c r="F2933" s="447" t="s">
        <v>92</v>
      </c>
      <c r="G2933" s="444">
        <v>603.87</v>
      </c>
      <c r="H2933" s="952"/>
    </row>
    <row r="2934" spans="1:8" ht="14.1" customHeight="1">
      <c r="A2934" s="413" t="s">
        <v>94</v>
      </c>
      <c r="B2934" s="952"/>
      <c r="C2934" s="952"/>
      <c r="D2934" s="952"/>
      <c r="E2934" s="952"/>
      <c r="F2934" s="447" t="s">
        <v>93</v>
      </c>
      <c r="G2934" s="975">
        <f>SUM(G2928:G2931)</f>
        <v>661.59999999999991</v>
      </c>
      <c r="H2934" s="952"/>
    </row>
    <row r="2935" spans="1:8" ht="14.1" customHeight="1">
      <c r="A2935" s="361" t="s">
        <v>95</v>
      </c>
      <c r="B2935" s="385">
        <f>G2934</f>
        <v>661.59999999999991</v>
      </c>
      <c r="C2935" s="952"/>
      <c r="D2935" s="952"/>
      <c r="E2935" s="952"/>
      <c r="F2935" s="132"/>
      <c r="G2935" s="132"/>
      <c r="H2935" s="952"/>
    </row>
    <row r="2936" spans="1:8" ht="14.1" customHeight="1">
      <c r="A2936" s="382" t="s">
        <v>2272</v>
      </c>
      <c r="B2936" s="381"/>
      <c r="C2936" s="952"/>
      <c r="D2936" s="952"/>
      <c r="E2936" s="952"/>
      <c r="F2936" s="132"/>
      <c r="G2936" s="132"/>
      <c r="H2936" s="952"/>
    </row>
    <row r="2937" spans="1:8" ht="14.1" customHeight="1">
      <c r="A2937" s="443" t="s">
        <v>2311</v>
      </c>
      <c r="B2937" s="381">
        <f>(B2935+B2936)*0.245</f>
        <v>162.09199999999998</v>
      </c>
      <c r="C2937" s="952"/>
      <c r="D2937" s="952"/>
      <c r="E2937" s="952"/>
      <c r="F2937" s="132"/>
      <c r="G2937" s="132"/>
      <c r="H2937" s="952"/>
    </row>
    <row r="2938" spans="1:8" ht="14.1" customHeight="1">
      <c r="A2938" s="361" t="s">
        <v>98</v>
      </c>
      <c r="B2938" s="386">
        <f>SUM(B2935:B2937)</f>
        <v>823.69199999999989</v>
      </c>
      <c r="C2938" s="952"/>
      <c r="D2938" s="952"/>
      <c r="E2938" s="952"/>
      <c r="F2938" s="132"/>
      <c r="G2938" s="132"/>
      <c r="H2938" s="952"/>
    </row>
    <row r="2939" spans="1:8">
      <c r="A2939" s="362"/>
      <c r="B2939" s="363"/>
      <c r="C2939" s="364"/>
      <c r="D2939" s="362"/>
      <c r="E2939" s="363"/>
      <c r="F2939" s="363"/>
      <c r="G2939" s="363"/>
      <c r="H2939" s="362"/>
    </row>
    <row r="2941" spans="1:8" ht="14.25" customHeight="1">
      <c r="A2941" s="826" t="s">
        <v>2710</v>
      </c>
    </row>
    <row r="2942" spans="1:8" ht="15" customHeight="1">
      <c r="A2942" s="409" t="s">
        <v>3117</v>
      </c>
      <c r="B2942" s="410"/>
      <c r="C2942" s="410"/>
      <c r="D2942" s="410"/>
      <c r="E2942" s="410"/>
      <c r="F2942" s="410"/>
      <c r="G2942" s="410"/>
      <c r="H2942" s="410"/>
    </row>
    <row r="2943" spans="1:8" ht="49.5" customHeight="1">
      <c r="A2943" s="452" t="s">
        <v>1548</v>
      </c>
      <c r="B2943" s="1136" t="s">
        <v>1815</v>
      </c>
      <c r="C2943" s="1136"/>
      <c r="D2943" s="1136"/>
      <c r="E2943" s="411" t="s">
        <v>1452</v>
      </c>
      <c r="F2943" s="131"/>
      <c r="G2943" s="131"/>
      <c r="H2943" s="131"/>
    </row>
    <row r="2944" spans="1:8" ht="20.399999999999999">
      <c r="A2944" s="309" t="s">
        <v>30</v>
      </c>
      <c r="B2944" s="354" t="s">
        <v>19</v>
      </c>
      <c r="C2944" s="293" t="s">
        <v>81</v>
      </c>
      <c r="D2944" s="294" t="s">
        <v>77</v>
      </c>
      <c r="E2944" s="294" t="s">
        <v>82</v>
      </c>
      <c r="F2944" s="295" t="s">
        <v>83</v>
      </c>
      <c r="G2944" s="355" t="s">
        <v>84</v>
      </c>
      <c r="H2944" s="131"/>
    </row>
    <row r="2945" spans="1:8" ht="20.399999999999999">
      <c r="A2945" s="449" t="s">
        <v>256</v>
      </c>
      <c r="B2945" s="451" t="s">
        <v>257</v>
      </c>
      <c r="C2945" s="395" t="s">
        <v>108</v>
      </c>
      <c r="D2945" s="395" t="s">
        <v>5</v>
      </c>
      <c r="E2945" s="395" t="s">
        <v>101</v>
      </c>
      <c r="F2945" s="395">
        <v>6.08</v>
      </c>
      <c r="G2945" s="445">
        <f t="shared" ref="G2945:G2949" si="107">TRUNC(E2945*F2945,2)</f>
        <v>6.08</v>
      </c>
      <c r="H2945" s="131"/>
    </row>
    <row r="2946" spans="1:8" ht="20.399999999999999">
      <c r="A2946" s="449" t="s">
        <v>258</v>
      </c>
      <c r="B2946" s="451" t="s">
        <v>259</v>
      </c>
      <c r="C2946" s="395" t="s">
        <v>108</v>
      </c>
      <c r="D2946" s="395" t="s">
        <v>5</v>
      </c>
      <c r="E2946" s="395" t="s">
        <v>101</v>
      </c>
      <c r="F2946" s="395">
        <v>10.24</v>
      </c>
      <c r="G2946" s="445">
        <f t="shared" si="107"/>
        <v>10.24</v>
      </c>
      <c r="H2946" s="131"/>
    </row>
    <row r="2947" spans="1:8" ht="20.399999999999999">
      <c r="A2947" s="449" t="s">
        <v>260</v>
      </c>
      <c r="B2947" s="451" t="s">
        <v>261</v>
      </c>
      <c r="C2947" s="395" t="s">
        <v>108</v>
      </c>
      <c r="D2947" s="395" t="s">
        <v>5</v>
      </c>
      <c r="E2947" s="395" t="s">
        <v>101</v>
      </c>
      <c r="F2947" s="395">
        <v>7.47</v>
      </c>
      <c r="G2947" s="445">
        <f t="shared" si="107"/>
        <v>7.47</v>
      </c>
      <c r="H2947" s="131"/>
    </row>
    <row r="2948" spans="1:8" ht="20.399999999999999">
      <c r="A2948" s="449" t="s">
        <v>262</v>
      </c>
      <c r="B2948" s="451" t="s">
        <v>263</v>
      </c>
      <c r="C2948" s="395" t="s">
        <v>108</v>
      </c>
      <c r="D2948" s="395" t="s">
        <v>5</v>
      </c>
      <c r="E2948" s="395" t="s">
        <v>101</v>
      </c>
      <c r="F2948" s="395">
        <v>105.34</v>
      </c>
      <c r="G2948" s="445">
        <f t="shared" si="107"/>
        <v>105.34</v>
      </c>
      <c r="H2948" s="131"/>
    </row>
    <row r="2949" spans="1:8" ht="20.399999999999999">
      <c r="A2949" s="492">
        <v>86906</v>
      </c>
      <c r="B2949" s="451" t="s">
        <v>264</v>
      </c>
      <c r="C2949" s="395" t="s">
        <v>108</v>
      </c>
      <c r="D2949" s="395" t="s">
        <v>5</v>
      </c>
      <c r="E2949" s="395" t="s">
        <v>101</v>
      </c>
      <c r="F2949" s="395">
        <v>49.96</v>
      </c>
      <c r="G2949" s="445">
        <f t="shared" si="107"/>
        <v>49.96</v>
      </c>
      <c r="H2949" s="131"/>
    </row>
    <row r="2950" spans="1:8" ht="14.1" customHeight="1">
      <c r="A2950" s="131"/>
      <c r="B2950" s="131"/>
      <c r="C2950" s="131"/>
      <c r="D2950" s="131"/>
      <c r="E2950" s="131"/>
      <c r="F2950" s="447" t="s">
        <v>90</v>
      </c>
      <c r="G2950" s="444">
        <v>22.16</v>
      </c>
      <c r="H2950" s="131"/>
    </row>
    <row r="2951" spans="1:8" ht="14.1" customHeight="1">
      <c r="A2951" s="131"/>
      <c r="B2951" s="131"/>
      <c r="C2951" s="131"/>
      <c r="D2951" s="131"/>
      <c r="E2951" s="131"/>
      <c r="F2951" s="447" t="s">
        <v>92</v>
      </c>
      <c r="G2951" s="444">
        <v>84.93</v>
      </c>
      <c r="H2951" s="131"/>
    </row>
    <row r="2952" spans="1:8" ht="14.1" customHeight="1">
      <c r="A2952" s="413" t="s">
        <v>94</v>
      </c>
      <c r="B2952" s="131"/>
      <c r="C2952" s="131"/>
      <c r="D2952" s="131"/>
      <c r="E2952" s="131"/>
      <c r="F2952" s="447" t="s">
        <v>93</v>
      </c>
      <c r="G2952" s="975">
        <f>SUM(G2950:G2951)</f>
        <v>107.09</v>
      </c>
      <c r="H2952" s="131"/>
    </row>
    <row r="2953" spans="1:8" ht="14.1" customHeight="1">
      <c r="A2953" s="361" t="s">
        <v>95</v>
      </c>
      <c r="B2953" s="385">
        <f>G2952</f>
        <v>107.09</v>
      </c>
      <c r="C2953" s="131"/>
      <c r="D2953" s="131"/>
      <c r="E2953" s="131"/>
      <c r="F2953" s="132"/>
      <c r="G2953" s="132"/>
      <c r="H2953" s="131"/>
    </row>
    <row r="2954" spans="1:8" ht="14.1" customHeight="1">
      <c r="A2954" s="382" t="s">
        <v>2272</v>
      </c>
      <c r="B2954" s="381"/>
      <c r="C2954" s="131"/>
      <c r="D2954" s="131"/>
      <c r="E2954" s="131"/>
      <c r="F2954" s="132"/>
      <c r="G2954" s="132"/>
      <c r="H2954" s="131"/>
    </row>
    <row r="2955" spans="1:8" ht="14.1" customHeight="1">
      <c r="A2955" s="443" t="s">
        <v>2311</v>
      </c>
      <c r="B2955" s="381">
        <f>(B2953+B2954)*0.245</f>
        <v>26.23705</v>
      </c>
      <c r="C2955" s="131"/>
      <c r="D2955" s="131"/>
      <c r="E2955" s="131"/>
      <c r="F2955" s="132"/>
      <c r="G2955" s="132"/>
      <c r="H2955" s="131"/>
    </row>
    <row r="2956" spans="1:8" ht="14.1" customHeight="1">
      <c r="A2956" s="361" t="s">
        <v>98</v>
      </c>
      <c r="B2956" s="386">
        <f>SUM(B2953:B2955)</f>
        <v>133.32705000000001</v>
      </c>
      <c r="C2956" s="131"/>
      <c r="D2956" s="131"/>
      <c r="E2956" s="131"/>
      <c r="F2956" s="132"/>
      <c r="G2956" s="132"/>
      <c r="H2956" s="131"/>
    </row>
    <row r="2957" spans="1:8">
      <c r="A2957" s="362"/>
      <c r="B2957" s="363"/>
      <c r="C2957" s="364"/>
      <c r="D2957" s="362"/>
      <c r="E2957" s="363"/>
      <c r="F2957" s="363"/>
      <c r="G2957" s="363"/>
      <c r="H2957" s="362"/>
    </row>
    <row r="2959" spans="1:8" ht="14.25" customHeight="1">
      <c r="A2959" s="826" t="s">
        <v>2710</v>
      </c>
    </row>
    <row r="2960" spans="1:8" ht="15" customHeight="1">
      <c r="A2960" s="949" t="s">
        <v>2920</v>
      </c>
      <c r="B2960" s="950"/>
      <c r="C2960" s="950"/>
      <c r="D2960" s="950"/>
      <c r="E2960" s="950"/>
      <c r="F2960" s="950"/>
      <c r="G2960" s="950"/>
      <c r="H2960" s="950"/>
    </row>
    <row r="2961" spans="1:8" ht="37.5" customHeight="1">
      <c r="A2961" s="452" t="s">
        <v>1548</v>
      </c>
      <c r="B2961" s="1136" t="s">
        <v>1815</v>
      </c>
      <c r="C2961" s="1136"/>
      <c r="D2961" s="1136"/>
      <c r="E2961" s="411" t="s">
        <v>1452</v>
      </c>
      <c r="F2961" s="952"/>
      <c r="G2961" s="952"/>
      <c r="H2961" s="952"/>
    </row>
    <row r="2962" spans="1:8" ht="20.399999999999999">
      <c r="A2962" s="945" t="s">
        <v>30</v>
      </c>
      <c r="B2962" s="354" t="s">
        <v>19</v>
      </c>
      <c r="C2962" s="293" t="s">
        <v>81</v>
      </c>
      <c r="D2962" s="908" t="s">
        <v>77</v>
      </c>
      <c r="E2962" s="908" t="s">
        <v>82</v>
      </c>
      <c r="F2962" s="909" t="s">
        <v>83</v>
      </c>
      <c r="G2962" s="355" t="s">
        <v>84</v>
      </c>
      <c r="H2962" s="952"/>
    </row>
    <row r="2963" spans="1:8" ht="30.6">
      <c r="A2963" s="449">
        <v>86877</v>
      </c>
      <c r="B2963" s="451" t="s">
        <v>2921</v>
      </c>
      <c r="C2963" s="395" t="s">
        <v>108</v>
      </c>
      <c r="D2963" s="395" t="s">
        <v>5</v>
      </c>
      <c r="E2963" s="395" t="s">
        <v>101</v>
      </c>
      <c r="F2963" s="395">
        <v>25.99</v>
      </c>
      <c r="G2963" s="445">
        <f t="shared" ref="G2963:G2967" si="108">TRUNC(E2963*F2963,2)</f>
        <v>25.99</v>
      </c>
      <c r="H2963" s="952"/>
    </row>
    <row r="2964" spans="1:8" ht="20.399999999999999">
      <c r="A2964" s="449">
        <v>86881</v>
      </c>
      <c r="B2964" s="451" t="s">
        <v>2922</v>
      </c>
      <c r="C2964" s="395" t="s">
        <v>108</v>
      </c>
      <c r="D2964" s="395" t="s">
        <v>5</v>
      </c>
      <c r="E2964" s="395" t="s">
        <v>101</v>
      </c>
      <c r="F2964" s="395">
        <v>156.59</v>
      </c>
      <c r="G2964" s="445">
        <f t="shared" si="108"/>
        <v>156.59</v>
      </c>
      <c r="H2964" s="952"/>
    </row>
    <row r="2965" spans="1:8" ht="20.399999999999999">
      <c r="A2965" s="449">
        <v>86887</v>
      </c>
      <c r="B2965" s="451" t="s">
        <v>2923</v>
      </c>
      <c r="C2965" s="395" t="s">
        <v>108</v>
      </c>
      <c r="D2965" s="395" t="s">
        <v>5</v>
      </c>
      <c r="E2965" s="395" t="s">
        <v>101</v>
      </c>
      <c r="F2965" s="395">
        <v>41.43</v>
      </c>
      <c r="G2965" s="445">
        <f t="shared" si="108"/>
        <v>41.43</v>
      </c>
      <c r="H2965" s="952"/>
    </row>
    <row r="2966" spans="1:8" ht="20.399999999999999">
      <c r="A2966" s="449">
        <v>86903</v>
      </c>
      <c r="B2966" s="451" t="s">
        <v>2924</v>
      </c>
      <c r="C2966" s="395" t="s">
        <v>108</v>
      </c>
      <c r="D2966" s="395" t="s">
        <v>5</v>
      </c>
      <c r="E2966" s="395" t="s">
        <v>101</v>
      </c>
      <c r="F2966" s="395">
        <v>272.08999999999997</v>
      </c>
      <c r="G2966" s="445">
        <f t="shared" si="108"/>
        <v>272.08999999999997</v>
      </c>
      <c r="H2966" s="952"/>
    </row>
    <row r="2967" spans="1:8" ht="20.399999999999999">
      <c r="A2967" s="492">
        <v>86915</v>
      </c>
      <c r="B2967" s="451" t="s">
        <v>2925</v>
      </c>
      <c r="C2967" s="395" t="s">
        <v>108</v>
      </c>
      <c r="D2967" s="395" t="s">
        <v>5</v>
      </c>
      <c r="E2967" s="395" t="s">
        <v>101</v>
      </c>
      <c r="F2967" s="395">
        <v>84.17</v>
      </c>
      <c r="G2967" s="445">
        <f t="shared" si="108"/>
        <v>84.17</v>
      </c>
      <c r="H2967" s="952"/>
    </row>
    <row r="2968" spans="1:8" ht="14.1" customHeight="1">
      <c r="A2968" s="952"/>
      <c r="B2968" s="952"/>
      <c r="C2968" s="952"/>
      <c r="D2968" s="952"/>
      <c r="E2968" s="952"/>
      <c r="F2968" s="447" t="s">
        <v>90</v>
      </c>
      <c r="G2968" s="444">
        <v>56.86</v>
      </c>
      <c r="H2968" s="952"/>
    </row>
    <row r="2969" spans="1:8" ht="14.1" customHeight="1">
      <c r="A2969" s="952"/>
      <c r="B2969" s="952"/>
      <c r="C2969" s="952"/>
      <c r="D2969" s="952"/>
      <c r="E2969" s="952"/>
      <c r="F2969" s="447" t="s">
        <v>92</v>
      </c>
      <c r="G2969" s="444">
        <v>523.41</v>
      </c>
      <c r="H2969" s="952"/>
    </row>
    <row r="2970" spans="1:8" ht="14.1" customHeight="1">
      <c r="A2970" s="413" t="s">
        <v>94</v>
      </c>
      <c r="B2970" s="952"/>
      <c r="C2970" s="952"/>
      <c r="D2970" s="952"/>
      <c r="E2970" s="952"/>
      <c r="F2970" s="447" t="s">
        <v>93</v>
      </c>
      <c r="G2970" s="975">
        <f>SUM(G2963:G2967)</f>
        <v>580.27</v>
      </c>
      <c r="H2970" s="952"/>
    </row>
    <row r="2971" spans="1:8" ht="14.1" customHeight="1">
      <c r="A2971" s="361" t="s">
        <v>95</v>
      </c>
      <c r="B2971" s="385">
        <f>G2970</f>
        <v>580.27</v>
      </c>
      <c r="C2971" s="952"/>
      <c r="D2971" s="952"/>
      <c r="E2971" s="952"/>
      <c r="F2971" s="132"/>
      <c r="G2971" s="132"/>
      <c r="H2971" s="952"/>
    </row>
    <row r="2972" spans="1:8" ht="14.1" customHeight="1">
      <c r="A2972" s="382" t="s">
        <v>2272</v>
      </c>
      <c r="B2972" s="381"/>
      <c r="C2972" s="952"/>
      <c r="D2972" s="952"/>
      <c r="E2972" s="952"/>
      <c r="F2972" s="132"/>
      <c r="G2972" s="132"/>
      <c r="H2972" s="952"/>
    </row>
    <row r="2973" spans="1:8" ht="14.1" customHeight="1">
      <c r="A2973" s="443" t="s">
        <v>2311</v>
      </c>
      <c r="B2973" s="381">
        <f>(B2971+B2972)*0.245</f>
        <v>142.16614999999999</v>
      </c>
      <c r="C2973" s="952"/>
      <c r="D2973" s="952"/>
      <c r="E2973" s="952"/>
      <c r="F2973" s="132"/>
      <c r="G2973" s="132"/>
      <c r="H2973" s="952"/>
    </row>
    <row r="2974" spans="1:8" ht="14.1" customHeight="1">
      <c r="A2974" s="361" t="s">
        <v>98</v>
      </c>
      <c r="B2974" s="386">
        <f>SUM(B2971:B2973)</f>
        <v>722.43615</v>
      </c>
      <c r="C2974" s="952"/>
      <c r="D2974" s="952"/>
      <c r="E2974" s="952"/>
      <c r="F2974" s="132"/>
      <c r="G2974" s="132"/>
      <c r="H2974" s="952"/>
    </row>
    <row r="2975" spans="1:8">
      <c r="A2975" s="362"/>
      <c r="B2975" s="363"/>
      <c r="C2975" s="364"/>
      <c r="D2975" s="362"/>
      <c r="E2975" s="363"/>
      <c r="F2975" s="363"/>
      <c r="G2975" s="363"/>
      <c r="H2975" s="362"/>
    </row>
    <row r="2977" spans="1:8" ht="12.75" customHeight="1">
      <c r="A2977" s="826" t="s">
        <v>2710</v>
      </c>
    </row>
    <row r="2978" spans="1:8" ht="15.75" customHeight="1">
      <c r="A2978" s="1134" t="s">
        <v>1509</v>
      </c>
      <c r="B2978" s="1135"/>
      <c r="C2978" s="1135"/>
      <c r="D2978" s="1135"/>
      <c r="E2978" s="1135"/>
      <c r="F2978" s="1135"/>
      <c r="G2978" s="1135"/>
      <c r="H2978" s="1135"/>
    </row>
    <row r="2979" spans="1:8" ht="26.25" customHeight="1">
      <c r="A2979" s="481" t="s">
        <v>1548</v>
      </c>
      <c r="B2979" s="1116" t="s">
        <v>1816</v>
      </c>
      <c r="C2979" s="1116"/>
      <c r="D2979" s="1116"/>
      <c r="E2979" s="421" t="s">
        <v>1452</v>
      </c>
      <c r="F2979" s="130"/>
      <c r="G2979" s="130"/>
      <c r="H2979" s="130"/>
    </row>
    <row r="2980" spans="1:8" ht="20.399999999999999">
      <c r="A2980" s="309" t="s">
        <v>30</v>
      </c>
      <c r="B2980" s="354" t="s">
        <v>19</v>
      </c>
      <c r="C2980" s="293" t="s">
        <v>81</v>
      </c>
      <c r="D2980" s="294" t="s">
        <v>77</v>
      </c>
      <c r="E2980" s="294" t="s">
        <v>82</v>
      </c>
      <c r="F2980" s="295" t="s">
        <v>83</v>
      </c>
      <c r="G2980" s="355" t="s">
        <v>84</v>
      </c>
    </row>
    <row r="2981" spans="1:8" ht="15.75" customHeight="1">
      <c r="A2981" s="448" t="s">
        <v>265</v>
      </c>
      <c r="B2981" s="453" t="s">
        <v>266</v>
      </c>
      <c r="C2981" s="438" t="s">
        <v>87</v>
      </c>
      <c r="D2981" s="438" t="s">
        <v>5</v>
      </c>
      <c r="E2981" s="438">
        <v>2.1000000000000001E-2</v>
      </c>
      <c r="F2981" s="438">
        <v>4.24</v>
      </c>
      <c r="G2981" s="414">
        <f>TRUNC(E2981*F2981,2)</f>
        <v>0.08</v>
      </c>
      <c r="H2981" s="130"/>
    </row>
    <row r="2982" spans="1:8" ht="27.75" customHeight="1">
      <c r="A2982" s="459">
        <v>36796</v>
      </c>
      <c r="B2982" s="453" t="s">
        <v>1817</v>
      </c>
      <c r="C2982" s="438" t="s">
        <v>87</v>
      </c>
      <c r="D2982" s="438" t="s">
        <v>5</v>
      </c>
      <c r="E2982" s="573">
        <v>1</v>
      </c>
      <c r="F2982" s="438">
        <v>81.7</v>
      </c>
      <c r="G2982" s="441">
        <f>TRUNC(E2982*F2982,2)</f>
        <v>81.7</v>
      </c>
      <c r="H2982" s="130"/>
    </row>
    <row r="2983" spans="1:8" ht="15" customHeight="1">
      <c r="A2983" s="1117">
        <v>88267</v>
      </c>
      <c r="B2983" s="1119" t="s">
        <v>271</v>
      </c>
      <c r="C2983" s="438" t="s">
        <v>104</v>
      </c>
      <c r="D2983" s="1121" t="s">
        <v>383</v>
      </c>
      <c r="E2983" s="1210">
        <v>9.6000000000000002E-2</v>
      </c>
      <c r="F2983" s="415">
        <f>'COMP AUX'!G338</f>
        <v>15.5</v>
      </c>
      <c r="G2983" s="441">
        <f>TRUNC(E2983*F2983,2)</f>
        <v>1.48</v>
      </c>
      <c r="H2983" s="130"/>
    </row>
    <row r="2984" spans="1:8" ht="15" customHeight="1">
      <c r="A2984" s="1118"/>
      <c r="B2984" s="1120"/>
      <c r="C2984" s="438" t="s">
        <v>87</v>
      </c>
      <c r="D2984" s="1122"/>
      <c r="E2984" s="1211"/>
      <c r="F2984" s="415">
        <f>'COMP AUX'!G339</f>
        <v>4.4000000000000004</v>
      </c>
      <c r="G2984" s="441">
        <f>TRUNC(E2983*F2984,2)</f>
        <v>0.42</v>
      </c>
      <c r="H2984" s="130"/>
    </row>
    <row r="2985" spans="1:8" ht="15" customHeight="1">
      <c r="A2985" s="1117">
        <v>88316</v>
      </c>
      <c r="B2985" s="1119" t="s">
        <v>110</v>
      </c>
      <c r="C2985" s="438" t="s">
        <v>104</v>
      </c>
      <c r="D2985" s="1121" t="s">
        <v>383</v>
      </c>
      <c r="E2985" s="1210">
        <v>3.0300000000000001E-2</v>
      </c>
      <c r="F2985" s="415">
        <f>'COMP AUX'!G104</f>
        <v>11.18</v>
      </c>
      <c r="G2985" s="441">
        <f>TRUNC(E2985*F2985,2)</f>
        <v>0.33</v>
      </c>
      <c r="H2985" s="130"/>
    </row>
    <row r="2986" spans="1:8" ht="15" customHeight="1">
      <c r="A2986" s="1118"/>
      <c r="B2986" s="1120"/>
      <c r="C2986" s="438" t="s">
        <v>87</v>
      </c>
      <c r="D2986" s="1122"/>
      <c r="E2986" s="1211"/>
      <c r="F2986" s="415">
        <f>'COMP AUX'!G105</f>
        <v>4.7300000000000004</v>
      </c>
      <c r="G2986" s="441">
        <f>TRUNC(E2985*F2986,2)</f>
        <v>0.14000000000000001</v>
      </c>
      <c r="H2986" s="130"/>
    </row>
    <row r="2987" spans="1:8" ht="15" customHeight="1">
      <c r="A2987" s="130"/>
      <c r="B2987" s="130"/>
      <c r="C2987" s="130"/>
      <c r="D2987" s="130"/>
      <c r="E2987" s="130"/>
      <c r="F2987" s="416" t="s">
        <v>90</v>
      </c>
      <c r="G2987" s="441">
        <f>SUM(G2983,G2985)</f>
        <v>1.81</v>
      </c>
      <c r="H2987" s="130"/>
    </row>
    <row r="2988" spans="1:8" ht="15" customHeight="1">
      <c r="A2988" s="130"/>
      <c r="B2988" s="130"/>
      <c r="C2988" s="130"/>
      <c r="D2988" s="130"/>
      <c r="E2988" s="130"/>
      <c r="F2988" s="416" t="s">
        <v>92</v>
      </c>
      <c r="G2988" s="414">
        <f>SUM(G2981,G2982,G2984,G2986)</f>
        <v>82.34</v>
      </c>
      <c r="H2988" s="130"/>
    </row>
    <row r="2989" spans="1:8" ht="15" customHeight="1">
      <c r="A2989" s="413" t="s">
        <v>94</v>
      </c>
      <c r="B2989" s="131"/>
      <c r="C2989" s="130"/>
      <c r="D2989" s="130"/>
      <c r="E2989" s="130"/>
      <c r="F2989" s="416" t="s">
        <v>93</v>
      </c>
      <c r="G2989" s="829">
        <f>SUM(G2981:G2986)</f>
        <v>84.15</v>
      </c>
      <c r="H2989" s="130"/>
    </row>
    <row r="2990" spans="1:8" ht="15" customHeight="1">
      <c r="A2990" s="361" t="s">
        <v>95</v>
      </c>
      <c r="B2990" s="385">
        <f>G2989</f>
        <v>84.15</v>
      </c>
      <c r="C2990" s="130"/>
      <c r="D2990" s="130"/>
      <c r="E2990" s="130"/>
      <c r="F2990" s="126"/>
      <c r="G2990" s="126"/>
      <c r="H2990" s="130"/>
    </row>
    <row r="2991" spans="1:8" ht="15" customHeight="1">
      <c r="A2991" s="382" t="s">
        <v>2272</v>
      </c>
      <c r="B2991" s="381"/>
      <c r="C2991" s="130"/>
      <c r="D2991" s="130"/>
      <c r="E2991" s="130"/>
      <c r="F2991" s="126"/>
      <c r="G2991" s="126"/>
      <c r="H2991" s="130"/>
    </row>
    <row r="2992" spans="1:8" ht="15" customHeight="1">
      <c r="A2992" s="443" t="s">
        <v>2311</v>
      </c>
      <c r="B2992" s="381">
        <f>(B2990+B2991)*0.245</f>
        <v>20.61675</v>
      </c>
      <c r="C2992" s="130"/>
      <c r="D2992" s="130"/>
      <c r="E2992" s="130"/>
      <c r="F2992" s="126"/>
      <c r="G2992" s="126"/>
      <c r="H2992" s="130"/>
    </row>
    <row r="2993" spans="1:8" ht="15" customHeight="1">
      <c r="A2993" s="361" t="s">
        <v>98</v>
      </c>
      <c r="B2993" s="386">
        <f>SUM(B2990:B2992)</f>
        <v>104.76675</v>
      </c>
      <c r="C2993" s="130"/>
      <c r="D2993" s="130"/>
      <c r="E2993" s="130"/>
      <c r="F2993" s="126"/>
      <c r="G2993" s="126"/>
      <c r="H2993" s="419"/>
    </row>
    <row r="2994" spans="1:8">
      <c r="A2994" s="362"/>
      <c r="B2994" s="363"/>
      <c r="C2994" s="364"/>
      <c r="D2994" s="362"/>
      <c r="E2994" s="363"/>
      <c r="F2994" s="363"/>
      <c r="G2994" s="363"/>
      <c r="H2994" s="362"/>
    </row>
    <row r="2996" spans="1:8">
      <c r="A2996" s="826" t="s">
        <v>2710</v>
      </c>
    </row>
    <row r="2997" spans="1:8">
      <c r="A2997" s="938" t="s">
        <v>1509</v>
      </c>
      <c r="B2997" s="939"/>
      <c r="C2997" s="939"/>
      <c r="D2997" s="939"/>
      <c r="E2997" s="939"/>
      <c r="F2997" s="939"/>
      <c r="G2997" s="939"/>
      <c r="H2997" s="939"/>
    </row>
    <row r="2998" spans="1:8" ht="26.25" customHeight="1">
      <c r="A2998" s="481" t="s">
        <v>1548</v>
      </c>
      <c r="B2998" s="1116" t="s">
        <v>1816</v>
      </c>
      <c r="C2998" s="1116"/>
      <c r="D2998" s="1116"/>
      <c r="E2998" s="421" t="s">
        <v>1452</v>
      </c>
      <c r="F2998" s="130"/>
      <c r="G2998" s="130"/>
      <c r="H2998" s="130"/>
    </row>
    <row r="2999" spans="1:8" ht="20.399999999999999">
      <c r="A2999" s="309" t="s">
        <v>30</v>
      </c>
      <c r="B2999" s="354" t="s">
        <v>19</v>
      </c>
      <c r="C2999" s="293" t="s">
        <v>81</v>
      </c>
      <c r="D2999" s="294" t="s">
        <v>77</v>
      </c>
      <c r="E2999" s="294" t="s">
        <v>82</v>
      </c>
      <c r="F2999" s="295" t="s">
        <v>83</v>
      </c>
      <c r="G2999" s="355" t="s">
        <v>84</v>
      </c>
    </row>
    <row r="3000" spans="1:8" ht="16.5" customHeight="1">
      <c r="A3000" s="448" t="s">
        <v>265</v>
      </c>
      <c r="B3000" s="453" t="s">
        <v>266</v>
      </c>
      <c r="C3000" s="438" t="s">
        <v>87</v>
      </c>
      <c r="D3000" s="438" t="s">
        <v>5</v>
      </c>
      <c r="E3000" s="438">
        <v>2.1000000000000001E-2</v>
      </c>
      <c r="F3000" s="438">
        <v>4.24</v>
      </c>
      <c r="G3000" s="414">
        <f>TRUNC(E3000*F3000,2)</f>
        <v>0.08</v>
      </c>
      <c r="H3000" s="130"/>
    </row>
    <row r="3001" spans="1:8" ht="20.399999999999999">
      <c r="A3001" s="459">
        <v>36795</v>
      </c>
      <c r="B3001" s="453" t="s">
        <v>1819</v>
      </c>
      <c r="C3001" s="438" t="s">
        <v>87</v>
      </c>
      <c r="D3001" s="438" t="s">
        <v>5</v>
      </c>
      <c r="E3001" s="573">
        <v>1</v>
      </c>
      <c r="F3001" s="438">
        <v>34.69</v>
      </c>
      <c r="G3001" s="441">
        <f t="shared" ref="G3001" si="109">TRUNC(E3001*F3001,2)</f>
        <v>34.69</v>
      </c>
      <c r="H3001" s="130"/>
    </row>
    <row r="3002" spans="1:8" ht="15" customHeight="1">
      <c r="A3002" s="1117">
        <v>88267</v>
      </c>
      <c r="B3002" s="1119" t="s">
        <v>271</v>
      </c>
      <c r="C3002" s="438" t="s">
        <v>104</v>
      </c>
      <c r="D3002" s="1121" t="s">
        <v>383</v>
      </c>
      <c r="E3002" s="1210">
        <v>0.1525</v>
      </c>
      <c r="F3002" s="415">
        <f>'COMP AUX'!G355</f>
        <v>14.96</v>
      </c>
      <c r="G3002" s="441">
        <f>TRUNC(E3002*F3002,2)</f>
        <v>2.2799999999999998</v>
      </c>
      <c r="H3002" s="130"/>
    </row>
    <row r="3003" spans="1:8" ht="15" customHeight="1">
      <c r="A3003" s="1118"/>
      <c r="B3003" s="1120"/>
      <c r="C3003" s="438" t="s">
        <v>87</v>
      </c>
      <c r="D3003" s="1122"/>
      <c r="E3003" s="1211"/>
      <c r="F3003" s="415">
        <f>'COMP AUX'!G356</f>
        <v>4.79</v>
      </c>
      <c r="G3003" s="441">
        <f>TRUNC(E3002*F3003,2)</f>
        <v>0.73</v>
      </c>
      <c r="H3003" s="130"/>
    </row>
    <row r="3004" spans="1:8" ht="15" customHeight="1">
      <c r="A3004" s="1117">
        <v>88316</v>
      </c>
      <c r="B3004" s="1119" t="s">
        <v>110</v>
      </c>
      <c r="C3004" s="438" t="s">
        <v>104</v>
      </c>
      <c r="D3004" s="1121" t="s">
        <v>383</v>
      </c>
      <c r="E3004" s="1210">
        <v>4.8099999999999997E-2</v>
      </c>
      <c r="F3004" s="415">
        <f>'COMP AUX'!G104</f>
        <v>11.18</v>
      </c>
      <c r="G3004" s="441">
        <f t="shared" ref="G3004" si="110">TRUNC(E3004*F3004,2)</f>
        <v>0.53</v>
      </c>
      <c r="H3004" s="130"/>
    </row>
    <row r="3005" spans="1:8" ht="15" customHeight="1">
      <c r="A3005" s="1118"/>
      <c r="B3005" s="1120"/>
      <c r="C3005" s="438" t="s">
        <v>87</v>
      </c>
      <c r="D3005" s="1122"/>
      <c r="E3005" s="1211"/>
      <c r="F3005" s="415">
        <f>'COMP AUX'!G105</f>
        <v>4.7300000000000004</v>
      </c>
      <c r="G3005" s="441">
        <f>TRUNC(E3004*F3005,2)</f>
        <v>0.22</v>
      </c>
      <c r="H3005" s="130"/>
    </row>
    <row r="3006" spans="1:8" ht="15" customHeight="1">
      <c r="A3006" s="130"/>
      <c r="B3006" s="130"/>
      <c r="C3006" s="130"/>
      <c r="D3006" s="130"/>
      <c r="E3006" s="130"/>
      <c r="F3006" s="574" t="s">
        <v>90</v>
      </c>
      <c r="G3006" s="575">
        <f>SUM(G3002,G3004)</f>
        <v>2.8099999999999996</v>
      </c>
      <c r="H3006" s="130"/>
    </row>
    <row r="3007" spans="1:8" ht="15" customHeight="1">
      <c r="A3007" s="130"/>
      <c r="B3007" s="130"/>
      <c r="C3007" s="130"/>
      <c r="D3007" s="130"/>
      <c r="E3007" s="130"/>
      <c r="F3007" s="416" t="s">
        <v>92</v>
      </c>
      <c r="G3007" s="414">
        <f>SUM(G3000,G3001,G3003,G3005)</f>
        <v>35.719999999999992</v>
      </c>
      <c r="H3007" s="130"/>
    </row>
    <row r="3008" spans="1:8" ht="15" customHeight="1">
      <c r="A3008" s="413" t="s">
        <v>94</v>
      </c>
      <c r="B3008" s="131"/>
      <c r="C3008" s="130"/>
      <c r="D3008" s="130"/>
      <c r="E3008" s="130"/>
      <c r="F3008" s="416" t="s">
        <v>93</v>
      </c>
      <c r="G3008" s="829">
        <f>SUM(G3006:G3007)</f>
        <v>38.529999999999994</v>
      </c>
      <c r="H3008" s="130"/>
    </row>
    <row r="3009" spans="1:8" ht="15" customHeight="1">
      <c r="A3009" s="361" t="s">
        <v>95</v>
      </c>
      <c r="B3009" s="385">
        <f>G3008</f>
        <v>38.529999999999994</v>
      </c>
      <c r="C3009" s="130"/>
      <c r="D3009" s="130"/>
      <c r="E3009" s="130"/>
      <c r="F3009" s="126"/>
      <c r="G3009" s="126"/>
      <c r="H3009" s="130"/>
    </row>
    <row r="3010" spans="1:8" ht="15" customHeight="1">
      <c r="A3010" s="382" t="s">
        <v>2272</v>
      </c>
      <c r="B3010" s="381"/>
      <c r="C3010" s="130"/>
      <c r="D3010" s="130"/>
      <c r="E3010" s="130"/>
      <c r="F3010" s="126"/>
      <c r="G3010" s="126"/>
      <c r="H3010" s="130"/>
    </row>
    <row r="3011" spans="1:8" ht="15" customHeight="1">
      <c r="A3011" s="443" t="s">
        <v>2311</v>
      </c>
      <c r="B3011" s="381">
        <f>(B3009+B3010)*0.245</f>
        <v>9.4398499999999981</v>
      </c>
      <c r="C3011" s="130"/>
      <c r="D3011" s="130"/>
      <c r="E3011" s="130"/>
      <c r="F3011" s="126"/>
      <c r="G3011" s="126"/>
      <c r="H3011" s="130"/>
    </row>
    <row r="3012" spans="1:8" ht="15" customHeight="1">
      <c r="A3012" s="361" t="s">
        <v>98</v>
      </c>
      <c r="B3012" s="386">
        <f>SUM(B3009:B3011)</f>
        <v>47.969849999999994</v>
      </c>
      <c r="C3012" s="130"/>
      <c r="D3012" s="130"/>
      <c r="E3012" s="130"/>
      <c r="F3012" s="126"/>
      <c r="G3012" s="126"/>
      <c r="H3012" s="419"/>
    </row>
    <row r="3013" spans="1:8">
      <c r="A3013" s="362"/>
      <c r="B3013" s="363"/>
      <c r="C3013" s="364"/>
      <c r="D3013" s="362"/>
      <c r="E3013" s="363"/>
      <c r="F3013" s="363"/>
      <c r="G3013" s="363"/>
      <c r="H3013" s="362"/>
    </row>
    <row r="3015" spans="1:8">
      <c r="A3015" s="826" t="s">
        <v>2710</v>
      </c>
    </row>
    <row r="3016" spans="1:8">
      <c r="A3016" s="938" t="s">
        <v>2932</v>
      </c>
      <c r="B3016" s="939"/>
      <c r="C3016" s="939"/>
      <c r="D3016" s="939"/>
      <c r="E3016" s="939"/>
      <c r="F3016" s="939"/>
      <c r="G3016" s="939"/>
      <c r="H3016" s="939"/>
    </row>
    <row r="3017" spans="1:8" ht="21" customHeight="1">
      <c r="A3017" s="481" t="s">
        <v>1548</v>
      </c>
      <c r="B3017" s="1116" t="s">
        <v>2933</v>
      </c>
      <c r="C3017" s="1116"/>
      <c r="D3017" s="1116"/>
      <c r="E3017" s="421" t="s">
        <v>1452</v>
      </c>
      <c r="F3017" s="937"/>
      <c r="G3017" s="937"/>
      <c r="H3017" s="937"/>
    </row>
    <row r="3018" spans="1:8" ht="20.399999999999999">
      <c r="A3018" s="945" t="s">
        <v>30</v>
      </c>
      <c r="B3018" s="354" t="s">
        <v>19</v>
      </c>
      <c r="C3018" s="293" t="s">
        <v>81</v>
      </c>
      <c r="D3018" s="908" t="s">
        <v>77</v>
      </c>
      <c r="E3018" s="908" t="s">
        <v>82</v>
      </c>
      <c r="F3018" s="909" t="s">
        <v>83</v>
      </c>
      <c r="G3018" s="355" t="s">
        <v>84</v>
      </c>
    </row>
    <row r="3019" spans="1:8" ht="16.5" customHeight="1">
      <c r="A3019" s="448" t="s">
        <v>265</v>
      </c>
      <c r="B3019" s="453" t="s">
        <v>266</v>
      </c>
      <c r="C3019" s="943" t="s">
        <v>87</v>
      </c>
      <c r="D3019" s="943" t="s">
        <v>5</v>
      </c>
      <c r="E3019" s="943">
        <v>2.1000000000000001E-2</v>
      </c>
      <c r="F3019" s="943">
        <v>4.24</v>
      </c>
      <c r="G3019" s="414">
        <f>TRUNC(E3019*F3019,2)</f>
        <v>0.08</v>
      </c>
      <c r="H3019" s="937"/>
    </row>
    <row r="3020" spans="1:8" ht="20.399999999999999">
      <c r="A3020" s="942">
        <v>11773</v>
      </c>
      <c r="B3020" s="453" t="s">
        <v>2934</v>
      </c>
      <c r="C3020" s="943" t="s">
        <v>87</v>
      </c>
      <c r="D3020" s="943" t="s">
        <v>5</v>
      </c>
      <c r="E3020" s="573">
        <v>1</v>
      </c>
      <c r="F3020" s="943">
        <v>91.41</v>
      </c>
      <c r="G3020" s="441">
        <f t="shared" ref="G3020" si="111">TRUNC(E3020*F3020,2)</f>
        <v>91.41</v>
      </c>
      <c r="H3020" s="937"/>
    </row>
    <row r="3021" spans="1:8" ht="15" customHeight="1">
      <c r="A3021" s="1117">
        <v>88267</v>
      </c>
      <c r="B3021" s="1119" t="s">
        <v>271</v>
      </c>
      <c r="C3021" s="943" t="s">
        <v>104</v>
      </c>
      <c r="D3021" s="1121" t="s">
        <v>383</v>
      </c>
      <c r="E3021" s="1123">
        <v>0.1164</v>
      </c>
      <c r="F3021" s="415">
        <f>'COMP AUX'!G338</f>
        <v>15.5</v>
      </c>
      <c r="G3021" s="441">
        <f>TRUNC(E3021*F3021,2)</f>
        <v>1.8</v>
      </c>
      <c r="H3021" s="937"/>
    </row>
    <row r="3022" spans="1:8" ht="15" customHeight="1">
      <c r="A3022" s="1118"/>
      <c r="B3022" s="1120"/>
      <c r="C3022" s="943" t="s">
        <v>87</v>
      </c>
      <c r="D3022" s="1122"/>
      <c r="E3022" s="1124"/>
      <c r="F3022" s="415">
        <f>'COMP AUX'!G339</f>
        <v>4.4000000000000004</v>
      </c>
      <c r="G3022" s="441">
        <f>TRUNC(E3021*F3022,2)</f>
        <v>0.51</v>
      </c>
      <c r="H3022" s="937"/>
    </row>
    <row r="3023" spans="1:8" ht="15" customHeight="1">
      <c r="A3023" s="1117">
        <v>88316</v>
      </c>
      <c r="B3023" s="1119" t="s">
        <v>110</v>
      </c>
      <c r="C3023" s="943" t="s">
        <v>104</v>
      </c>
      <c r="D3023" s="1121" t="s">
        <v>383</v>
      </c>
      <c r="E3023" s="1123">
        <v>3.6700000000000003E-2</v>
      </c>
      <c r="F3023" s="415">
        <f>'COMP AUX'!G104</f>
        <v>11.18</v>
      </c>
      <c r="G3023" s="441">
        <f t="shared" ref="G3023" si="112">TRUNC(E3023*F3023,2)</f>
        <v>0.41</v>
      </c>
      <c r="H3023" s="937"/>
    </row>
    <row r="3024" spans="1:8" ht="15" customHeight="1">
      <c r="A3024" s="1118"/>
      <c r="B3024" s="1120"/>
      <c r="C3024" s="943" t="s">
        <v>87</v>
      </c>
      <c r="D3024" s="1122"/>
      <c r="E3024" s="1124"/>
      <c r="F3024" s="415">
        <f>'COMP AUX'!G105</f>
        <v>4.7300000000000004</v>
      </c>
      <c r="G3024" s="441">
        <f>TRUNC(E3023*F3024,2)</f>
        <v>0.17</v>
      </c>
      <c r="H3024" s="937"/>
    </row>
    <row r="3025" spans="1:8" ht="15" customHeight="1">
      <c r="A3025" s="937"/>
      <c r="B3025" s="937"/>
      <c r="C3025" s="937"/>
      <c r="D3025" s="937"/>
      <c r="E3025" s="937"/>
      <c r="F3025" s="574" t="s">
        <v>90</v>
      </c>
      <c r="G3025" s="575">
        <f>SUM(G3021,G3023)</f>
        <v>2.21</v>
      </c>
      <c r="H3025" s="937"/>
    </row>
    <row r="3026" spans="1:8" ht="15" customHeight="1">
      <c r="A3026" s="937"/>
      <c r="B3026" s="937"/>
      <c r="C3026" s="937"/>
      <c r="D3026" s="937"/>
      <c r="E3026" s="937"/>
      <c r="F3026" s="416" t="s">
        <v>92</v>
      </c>
      <c r="G3026" s="414">
        <f>SUM(G3019,G3020,G3022,G3024)</f>
        <v>92.17</v>
      </c>
      <c r="H3026" s="937"/>
    </row>
    <row r="3027" spans="1:8" ht="15" customHeight="1">
      <c r="A3027" s="413" t="s">
        <v>94</v>
      </c>
      <c r="B3027" s="952"/>
      <c r="C3027" s="937"/>
      <c r="D3027" s="937"/>
      <c r="E3027" s="937"/>
      <c r="F3027" s="416" t="s">
        <v>93</v>
      </c>
      <c r="G3027" s="829">
        <f>SUM(G3025:G3026)</f>
        <v>94.38</v>
      </c>
      <c r="H3027" s="937"/>
    </row>
    <row r="3028" spans="1:8" ht="15" customHeight="1">
      <c r="A3028" s="361" t="s">
        <v>95</v>
      </c>
      <c r="B3028" s="385">
        <f>G3027</f>
        <v>94.38</v>
      </c>
      <c r="C3028" s="937"/>
      <c r="D3028" s="937"/>
      <c r="E3028" s="937"/>
      <c r="F3028" s="126"/>
      <c r="G3028" s="126"/>
      <c r="H3028" s="937"/>
    </row>
    <row r="3029" spans="1:8" ht="15" customHeight="1">
      <c r="A3029" s="382" t="s">
        <v>2272</v>
      </c>
      <c r="B3029" s="381"/>
      <c r="C3029" s="937"/>
      <c r="D3029" s="937"/>
      <c r="E3029" s="937"/>
      <c r="F3029" s="126"/>
      <c r="G3029" s="126"/>
      <c r="H3029" s="937"/>
    </row>
    <row r="3030" spans="1:8" ht="15" customHeight="1">
      <c r="A3030" s="443" t="s">
        <v>2311</v>
      </c>
      <c r="B3030" s="381">
        <f>(B3028+B3029)*0.245</f>
        <v>23.123099999999997</v>
      </c>
      <c r="C3030" s="937"/>
      <c r="D3030" s="937"/>
      <c r="E3030" s="937"/>
      <c r="F3030" s="126"/>
      <c r="G3030" s="126"/>
      <c r="H3030" s="937"/>
    </row>
    <row r="3031" spans="1:8" ht="15" customHeight="1">
      <c r="A3031" s="361" t="s">
        <v>98</v>
      </c>
      <c r="B3031" s="386">
        <f>SUM(B3028:B3030)</f>
        <v>117.50309999999999</v>
      </c>
      <c r="C3031" s="937"/>
      <c r="D3031" s="937"/>
      <c r="E3031" s="937"/>
      <c r="F3031" s="126"/>
      <c r="G3031" s="126"/>
      <c r="H3031" s="419"/>
    </row>
    <row r="3032" spans="1:8">
      <c r="A3032" s="362"/>
      <c r="B3032" s="363"/>
      <c r="C3032" s="364"/>
      <c r="D3032" s="362"/>
      <c r="E3032" s="363"/>
      <c r="F3032" s="363"/>
      <c r="G3032" s="363"/>
      <c r="H3032" s="362"/>
    </row>
    <row r="3034" spans="1:8">
      <c r="A3034" s="826" t="s">
        <v>2710</v>
      </c>
    </row>
    <row r="3035" spans="1:8">
      <c r="A3035" s="938" t="s">
        <v>2935</v>
      </c>
      <c r="B3035" s="939"/>
      <c r="C3035" s="939"/>
      <c r="D3035" s="939"/>
      <c r="E3035" s="939"/>
      <c r="F3035" s="939"/>
      <c r="G3035" s="939"/>
      <c r="H3035" s="939"/>
    </row>
    <row r="3036" spans="1:8" ht="21" customHeight="1">
      <c r="A3036" s="481" t="s">
        <v>1548</v>
      </c>
      <c r="B3036" s="1116" t="s">
        <v>2933</v>
      </c>
      <c r="C3036" s="1116"/>
      <c r="D3036" s="1116"/>
      <c r="E3036" s="421" t="s">
        <v>1452</v>
      </c>
      <c r="F3036" s="937"/>
      <c r="G3036" s="937"/>
      <c r="H3036" s="937"/>
    </row>
    <row r="3037" spans="1:8" ht="20.399999999999999">
      <c r="A3037" s="945" t="s">
        <v>30</v>
      </c>
      <c r="B3037" s="354" t="s">
        <v>19</v>
      </c>
      <c r="C3037" s="293" t="s">
        <v>81</v>
      </c>
      <c r="D3037" s="908" t="s">
        <v>77</v>
      </c>
      <c r="E3037" s="908" t="s">
        <v>82</v>
      </c>
      <c r="F3037" s="909" t="s">
        <v>83</v>
      </c>
      <c r="G3037" s="355" t="s">
        <v>84</v>
      </c>
    </row>
    <row r="3038" spans="1:8" ht="16.5" customHeight="1">
      <c r="A3038" s="448" t="s">
        <v>265</v>
      </c>
      <c r="B3038" s="453" t="s">
        <v>266</v>
      </c>
      <c r="C3038" s="943" t="s">
        <v>87</v>
      </c>
      <c r="D3038" s="943" t="s">
        <v>5</v>
      </c>
      <c r="E3038" s="943">
        <v>3.32E-2</v>
      </c>
      <c r="F3038" s="943">
        <v>4.24</v>
      </c>
      <c r="G3038" s="414">
        <f>TRUNC(E3038*F3038,2)</f>
        <v>0.14000000000000001</v>
      </c>
      <c r="H3038" s="937"/>
    </row>
    <row r="3039" spans="1:8" ht="15.75" customHeight="1">
      <c r="A3039" s="942">
        <v>6136</v>
      </c>
      <c r="B3039" s="453" t="s">
        <v>2936</v>
      </c>
      <c r="C3039" s="943" t="s">
        <v>87</v>
      </c>
      <c r="D3039" s="943" t="s">
        <v>5</v>
      </c>
      <c r="E3039" s="573">
        <v>1</v>
      </c>
      <c r="F3039" s="943">
        <v>149.63999999999999</v>
      </c>
      <c r="G3039" s="441">
        <f t="shared" ref="G3039" si="113">TRUNC(E3039*F3039,2)</f>
        <v>149.63999999999999</v>
      </c>
      <c r="H3039" s="937"/>
    </row>
    <row r="3040" spans="1:8" ht="15" customHeight="1">
      <c r="A3040" s="1117">
        <v>88267</v>
      </c>
      <c r="B3040" s="1119" t="s">
        <v>271</v>
      </c>
      <c r="C3040" s="943" t="s">
        <v>104</v>
      </c>
      <c r="D3040" s="1121" t="s">
        <v>383</v>
      </c>
      <c r="E3040" s="1123">
        <v>0.27339999999999998</v>
      </c>
      <c r="F3040" s="415">
        <f>'COMP AUX'!G338</f>
        <v>15.5</v>
      </c>
      <c r="G3040" s="441">
        <f>TRUNC(E3040*F3040,2)</f>
        <v>4.2300000000000004</v>
      </c>
      <c r="H3040" s="937"/>
    </row>
    <row r="3041" spans="1:8" ht="15" customHeight="1">
      <c r="A3041" s="1118"/>
      <c r="B3041" s="1120"/>
      <c r="C3041" s="943" t="s">
        <v>87</v>
      </c>
      <c r="D3041" s="1122"/>
      <c r="E3041" s="1124"/>
      <c r="F3041" s="415">
        <f>'COMP AUX'!G339</f>
        <v>4.4000000000000004</v>
      </c>
      <c r="G3041" s="441">
        <f>TRUNC(E3040*F3041,2)</f>
        <v>1.2</v>
      </c>
      <c r="H3041" s="937"/>
    </row>
    <row r="3042" spans="1:8" ht="15" customHeight="1">
      <c r="A3042" s="1117">
        <v>88316</v>
      </c>
      <c r="B3042" s="1119" t="s">
        <v>110</v>
      </c>
      <c r="C3042" s="943" t="s">
        <v>104</v>
      </c>
      <c r="D3042" s="1121" t="s">
        <v>383</v>
      </c>
      <c r="E3042" s="1123">
        <v>8.6199999999999999E-2</v>
      </c>
      <c r="F3042" s="415">
        <f>'COMP AUX'!G104</f>
        <v>11.18</v>
      </c>
      <c r="G3042" s="441">
        <f t="shared" ref="G3042" si="114">TRUNC(E3042*F3042,2)</f>
        <v>0.96</v>
      </c>
      <c r="H3042" s="937"/>
    </row>
    <row r="3043" spans="1:8" ht="15" customHeight="1">
      <c r="A3043" s="1118"/>
      <c r="B3043" s="1120"/>
      <c r="C3043" s="943" t="s">
        <v>87</v>
      </c>
      <c r="D3043" s="1122"/>
      <c r="E3043" s="1124"/>
      <c r="F3043" s="415">
        <f>'COMP AUX'!G105</f>
        <v>4.7300000000000004</v>
      </c>
      <c r="G3043" s="441">
        <f>TRUNC(E3042*F3043,2)</f>
        <v>0.4</v>
      </c>
      <c r="H3043" s="937"/>
    </row>
    <row r="3044" spans="1:8" ht="15" customHeight="1">
      <c r="A3044" s="937"/>
      <c r="B3044" s="937"/>
      <c r="C3044" s="937"/>
      <c r="D3044" s="937"/>
      <c r="E3044" s="937"/>
      <c r="F3044" s="574" t="s">
        <v>90</v>
      </c>
      <c r="G3044" s="575">
        <f>SUM(G3040,G3042)</f>
        <v>5.19</v>
      </c>
      <c r="H3044" s="937"/>
    </row>
    <row r="3045" spans="1:8" ht="15" customHeight="1">
      <c r="A3045" s="937"/>
      <c r="B3045" s="937"/>
      <c r="C3045" s="937"/>
      <c r="D3045" s="937"/>
      <c r="E3045" s="937"/>
      <c r="F3045" s="416" t="s">
        <v>92</v>
      </c>
      <c r="G3045" s="414">
        <f>SUM(G3038,G3039,G3041,G3043)</f>
        <v>151.37999999999997</v>
      </c>
      <c r="H3045" s="937"/>
    </row>
    <row r="3046" spans="1:8" ht="15" customHeight="1">
      <c r="A3046" s="413" t="s">
        <v>94</v>
      </c>
      <c r="B3046" s="952"/>
      <c r="C3046" s="937"/>
      <c r="D3046" s="937"/>
      <c r="E3046" s="937"/>
      <c r="F3046" s="416" t="s">
        <v>93</v>
      </c>
      <c r="G3046" s="829">
        <f>SUM(G3044:G3045)</f>
        <v>156.56999999999996</v>
      </c>
      <c r="H3046" s="937"/>
    </row>
    <row r="3047" spans="1:8" ht="15" customHeight="1">
      <c r="A3047" s="361" t="s">
        <v>95</v>
      </c>
      <c r="B3047" s="385">
        <f>G3046</f>
        <v>156.56999999999996</v>
      </c>
      <c r="C3047" s="937"/>
      <c r="D3047" s="937"/>
      <c r="E3047" s="937"/>
      <c r="F3047" s="126"/>
      <c r="G3047" s="126"/>
      <c r="H3047" s="937"/>
    </row>
    <row r="3048" spans="1:8" ht="15" customHeight="1">
      <c r="A3048" s="382" t="s">
        <v>2272</v>
      </c>
      <c r="B3048" s="381"/>
      <c r="C3048" s="937"/>
      <c r="D3048" s="937"/>
      <c r="E3048" s="937"/>
      <c r="F3048" s="126"/>
      <c r="G3048" s="126"/>
      <c r="H3048" s="937"/>
    </row>
    <row r="3049" spans="1:8" ht="15" customHeight="1">
      <c r="A3049" s="443" t="s">
        <v>2311</v>
      </c>
      <c r="B3049" s="381">
        <f>(B3047+B3048)*0.245</f>
        <v>38.359649999999988</v>
      </c>
      <c r="C3049" s="937"/>
      <c r="D3049" s="937"/>
      <c r="E3049" s="937"/>
      <c r="F3049" s="126"/>
      <c r="G3049" s="126"/>
      <c r="H3049" s="937"/>
    </row>
    <row r="3050" spans="1:8" ht="15" customHeight="1">
      <c r="A3050" s="361" t="s">
        <v>98</v>
      </c>
      <c r="B3050" s="386">
        <f>SUM(B3047:B3049)</f>
        <v>194.92964999999995</v>
      </c>
      <c r="C3050" s="937"/>
      <c r="D3050" s="937"/>
      <c r="E3050" s="937"/>
      <c r="F3050" s="126"/>
      <c r="G3050" s="126"/>
      <c r="H3050" s="419"/>
    </row>
    <row r="3051" spans="1:8">
      <c r="A3051" s="362"/>
      <c r="B3051" s="363"/>
      <c r="C3051" s="364"/>
      <c r="D3051" s="362"/>
      <c r="E3051" s="363"/>
      <c r="F3051" s="363"/>
      <c r="G3051" s="363"/>
      <c r="H3051" s="362"/>
    </row>
    <row r="3052" spans="1:8">
      <c r="A3052" s="362"/>
      <c r="B3052" s="363"/>
      <c r="C3052" s="364"/>
      <c r="D3052" s="362"/>
      <c r="E3052" s="363"/>
      <c r="F3052" s="363"/>
      <c r="G3052" s="363"/>
      <c r="H3052" s="362"/>
    </row>
    <row r="3054" spans="1:8">
      <c r="A3054" s="826" t="s">
        <v>2710</v>
      </c>
    </row>
    <row r="3055" spans="1:8">
      <c r="A3055" s="938" t="s">
        <v>2937</v>
      </c>
      <c r="B3055" s="939"/>
      <c r="C3055" s="939"/>
      <c r="D3055" s="939"/>
      <c r="E3055" s="939"/>
      <c r="F3055" s="939"/>
      <c r="G3055" s="939"/>
      <c r="H3055" s="939"/>
    </row>
    <row r="3056" spans="1:8" ht="21" customHeight="1">
      <c r="A3056" s="481" t="s">
        <v>1548</v>
      </c>
      <c r="B3056" s="1116" t="s">
        <v>2938</v>
      </c>
      <c r="C3056" s="1116"/>
      <c r="D3056" s="1116"/>
      <c r="E3056" s="421" t="s">
        <v>1452</v>
      </c>
      <c r="F3056" s="937"/>
      <c r="G3056" s="937"/>
      <c r="H3056" s="937"/>
    </row>
    <row r="3057" spans="1:8" ht="20.399999999999999">
      <c r="A3057" s="945" t="s">
        <v>30</v>
      </c>
      <c r="B3057" s="354" t="s">
        <v>19</v>
      </c>
      <c r="C3057" s="293" t="s">
        <v>81</v>
      </c>
      <c r="D3057" s="908" t="s">
        <v>77</v>
      </c>
      <c r="E3057" s="908" t="s">
        <v>82</v>
      </c>
      <c r="F3057" s="909" t="s">
        <v>83</v>
      </c>
      <c r="G3057" s="355" t="s">
        <v>84</v>
      </c>
    </row>
    <row r="3058" spans="1:8" ht="16.5" customHeight="1">
      <c r="A3058" s="448" t="s">
        <v>265</v>
      </c>
      <c r="B3058" s="453" t="s">
        <v>266</v>
      </c>
      <c r="C3058" s="943" t="s">
        <v>87</v>
      </c>
      <c r="D3058" s="943" t="s">
        <v>5</v>
      </c>
      <c r="E3058" s="943">
        <v>4.8000000000000001E-2</v>
      </c>
      <c r="F3058" s="943">
        <v>4.24</v>
      </c>
      <c r="G3058" s="414">
        <f>TRUNC(E3058*F3058,2)</f>
        <v>0.2</v>
      </c>
      <c r="H3058" s="937"/>
    </row>
    <row r="3059" spans="1:8" ht="15.75" customHeight="1">
      <c r="A3059" s="942">
        <v>6157</v>
      </c>
      <c r="B3059" s="453" t="s">
        <v>2340</v>
      </c>
      <c r="C3059" s="943" t="s">
        <v>87</v>
      </c>
      <c r="D3059" s="943" t="s">
        <v>5</v>
      </c>
      <c r="E3059" s="573">
        <v>1</v>
      </c>
      <c r="F3059" s="943">
        <v>51.1</v>
      </c>
      <c r="G3059" s="441">
        <f t="shared" ref="G3059" si="115">TRUNC(E3059*F3059,2)</f>
        <v>51.1</v>
      </c>
      <c r="H3059" s="937"/>
    </row>
    <row r="3060" spans="1:8" ht="15" customHeight="1">
      <c r="A3060" s="1117">
        <v>88267</v>
      </c>
      <c r="B3060" s="1119" t="s">
        <v>271</v>
      </c>
      <c r="C3060" s="943" t="s">
        <v>104</v>
      </c>
      <c r="D3060" s="1121" t="s">
        <v>383</v>
      </c>
      <c r="E3060" s="1123">
        <v>0.17399999999999999</v>
      </c>
      <c r="F3060" s="415">
        <f>'COMP AUX'!G338</f>
        <v>15.5</v>
      </c>
      <c r="G3060" s="441">
        <f>TRUNC(E3060*F3060,2)</f>
        <v>2.69</v>
      </c>
      <c r="H3060" s="937"/>
    </row>
    <row r="3061" spans="1:8" ht="15" customHeight="1">
      <c r="A3061" s="1118"/>
      <c r="B3061" s="1120"/>
      <c r="C3061" s="943" t="s">
        <v>87</v>
      </c>
      <c r="D3061" s="1122"/>
      <c r="E3061" s="1124"/>
      <c r="F3061" s="415">
        <f>'COMP AUX'!G339</f>
        <v>4.4000000000000004</v>
      </c>
      <c r="G3061" s="441">
        <f>TRUNC(E3060*F3061,2)</f>
        <v>0.76</v>
      </c>
      <c r="H3061" s="937"/>
    </row>
    <row r="3062" spans="1:8" ht="15" customHeight="1">
      <c r="A3062" s="1117">
        <v>88316</v>
      </c>
      <c r="B3062" s="1119" t="s">
        <v>110</v>
      </c>
      <c r="C3062" s="943" t="s">
        <v>104</v>
      </c>
      <c r="D3062" s="1121" t="s">
        <v>383</v>
      </c>
      <c r="E3062" s="1123">
        <v>5.4800000000000001E-2</v>
      </c>
      <c r="F3062" s="415">
        <f>'COMP AUX'!G104</f>
        <v>11.18</v>
      </c>
      <c r="G3062" s="441">
        <f t="shared" ref="G3062" si="116">TRUNC(E3062*F3062,2)</f>
        <v>0.61</v>
      </c>
      <c r="H3062" s="937"/>
    </row>
    <row r="3063" spans="1:8" ht="15" customHeight="1">
      <c r="A3063" s="1118"/>
      <c r="B3063" s="1120"/>
      <c r="C3063" s="943" t="s">
        <v>87</v>
      </c>
      <c r="D3063" s="1122"/>
      <c r="E3063" s="1124"/>
      <c r="F3063" s="415">
        <f>'COMP AUX'!G105</f>
        <v>4.7300000000000004</v>
      </c>
      <c r="G3063" s="441">
        <f>TRUNC(E3062*F3063,2)</f>
        <v>0.25</v>
      </c>
      <c r="H3063" s="937"/>
    </row>
    <row r="3064" spans="1:8" ht="15" customHeight="1">
      <c r="A3064" s="937"/>
      <c r="B3064" s="937"/>
      <c r="C3064" s="937"/>
      <c r="D3064" s="937"/>
      <c r="E3064" s="937"/>
      <c r="F3064" s="574" t="s">
        <v>90</v>
      </c>
      <c r="G3064" s="575">
        <f>SUM(G3060,G3062)</f>
        <v>3.3</v>
      </c>
      <c r="H3064" s="937"/>
    </row>
    <row r="3065" spans="1:8" ht="15" customHeight="1">
      <c r="A3065" s="937"/>
      <c r="B3065" s="937"/>
      <c r="C3065" s="937"/>
      <c r="D3065" s="937"/>
      <c r="E3065" s="937"/>
      <c r="F3065" s="416" t="s">
        <v>92</v>
      </c>
      <c r="G3065" s="414">
        <f>SUM(G3058,G3059,G3061,G3063)</f>
        <v>52.31</v>
      </c>
      <c r="H3065" s="937"/>
    </row>
    <row r="3066" spans="1:8" ht="15" customHeight="1">
      <c r="A3066" s="413" t="s">
        <v>94</v>
      </c>
      <c r="B3066" s="952"/>
      <c r="C3066" s="937"/>
      <c r="D3066" s="937"/>
      <c r="E3066" s="937"/>
      <c r="F3066" s="416" t="s">
        <v>93</v>
      </c>
      <c r="G3066" s="829">
        <f>SUM(G3064:G3065)</f>
        <v>55.61</v>
      </c>
      <c r="H3066" s="937"/>
    </row>
    <row r="3067" spans="1:8" ht="15" customHeight="1">
      <c r="A3067" s="361" t="s">
        <v>95</v>
      </c>
      <c r="B3067" s="385">
        <f>G3066</f>
        <v>55.61</v>
      </c>
      <c r="C3067" s="937"/>
      <c r="D3067" s="937"/>
      <c r="E3067" s="937"/>
      <c r="F3067" s="126"/>
      <c r="G3067" s="126"/>
      <c r="H3067" s="937"/>
    </row>
    <row r="3068" spans="1:8" ht="15" customHeight="1">
      <c r="A3068" s="382" t="s">
        <v>2272</v>
      </c>
      <c r="B3068" s="381"/>
      <c r="C3068" s="937"/>
      <c r="D3068" s="937"/>
      <c r="E3068" s="937"/>
      <c r="F3068" s="126"/>
      <c r="G3068" s="126"/>
      <c r="H3068" s="937"/>
    </row>
    <row r="3069" spans="1:8" ht="15" customHeight="1">
      <c r="A3069" s="443" t="s">
        <v>2311</v>
      </c>
      <c r="B3069" s="381">
        <f>(B3067+B3068)*0.245</f>
        <v>13.62445</v>
      </c>
      <c r="C3069" s="937"/>
      <c r="D3069" s="937"/>
      <c r="E3069" s="937"/>
      <c r="F3069" s="126"/>
      <c r="G3069" s="126"/>
      <c r="H3069" s="937"/>
    </row>
    <row r="3070" spans="1:8" ht="15" customHeight="1">
      <c r="A3070" s="361" t="s">
        <v>98</v>
      </c>
      <c r="B3070" s="386">
        <f>SUM(B3067:B3069)</f>
        <v>69.234449999999995</v>
      </c>
      <c r="C3070" s="937"/>
      <c r="D3070" s="937"/>
      <c r="E3070" s="937"/>
      <c r="F3070" s="126"/>
      <c r="G3070" s="126"/>
      <c r="H3070" s="419"/>
    </row>
    <row r="3071" spans="1:8">
      <c r="A3071" s="362"/>
      <c r="B3071" s="363"/>
      <c r="C3071" s="364"/>
      <c r="D3071" s="362"/>
      <c r="E3071" s="363"/>
      <c r="F3071" s="363"/>
      <c r="G3071" s="363"/>
      <c r="H3071" s="362"/>
    </row>
    <row r="3073" spans="1:8">
      <c r="A3073" s="826" t="s">
        <v>2710</v>
      </c>
    </row>
    <row r="3074" spans="1:8">
      <c r="A3074" s="1134" t="s">
        <v>2244</v>
      </c>
      <c r="B3074" s="1135"/>
      <c r="C3074" s="1135"/>
      <c r="D3074" s="1135"/>
      <c r="E3074" s="1135"/>
      <c r="F3074" s="1135"/>
      <c r="G3074" s="1135"/>
      <c r="H3074" s="1135"/>
    </row>
    <row r="3075" spans="1:8" ht="22.5" customHeight="1">
      <c r="A3075" s="481" t="s">
        <v>1548</v>
      </c>
      <c r="B3075" s="1116" t="s">
        <v>2245</v>
      </c>
      <c r="C3075" s="1116"/>
      <c r="D3075" s="1116"/>
      <c r="E3075" s="609" t="s">
        <v>1452</v>
      </c>
      <c r="F3075" s="130"/>
      <c r="G3075" s="130"/>
      <c r="H3075" s="130"/>
    </row>
    <row r="3076" spans="1:8" ht="20.399999999999999">
      <c r="A3076" s="309" t="s">
        <v>30</v>
      </c>
      <c r="B3076" s="354" t="s">
        <v>19</v>
      </c>
      <c r="C3076" s="293" t="s">
        <v>81</v>
      </c>
      <c r="D3076" s="294" t="s">
        <v>77</v>
      </c>
      <c r="E3076" s="294" t="s">
        <v>82</v>
      </c>
      <c r="F3076" s="295" t="s">
        <v>83</v>
      </c>
      <c r="G3076" s="355" t="s">
        <v>84</v>
      </c>
    </row>
    <row r="3077" spans="1:8" ht="14.1" customHeight="1">
      <c r="A3077" s="448" t="s">
        <v>265</v>
      </c>
      <c r="B3077" s="453" t="s">
        <v>266</v>
      </c>
      <c r="C3077" s="438" t="s">
        <v>87</v>
      </c>
      <c r="D3077" s="438" t="s">
        <v>5</v>
      </c>
      <c r="E3077" s="976">
        <v>2.1000000000000001E-2</v>
      </c>
      <c r="F3077" s="438">
        <v>4.24</v>
      </c>
      <c r="G3077" s="414">
        <f t="shared" ref="G3077:G3079" si="117">TRUNC(E3077*F3077,2)</f>
        <v>0.08</v>
      </c>
      <c r="H3077" s="130"/>
    </row>
    <row r="3078" spans="1:8">
      <c r="A3078" s="459" t="s">
        <v>2246</v>
      </c>
      <c r="B3078" s="453" t="s">
        <v>2247</v>
      </c>
      <c r="C3078" s="438" t="s">
        <v>87</v>
      </c>
      <c r="D3078" s="438" t="s">
        <v>5</v>
      </c>
      <c r="E3078" s="976">
        <v>1</v>
      </c>
      <c r="F3078" s="415">
        <v>34.69</v>
      </c>
      <c r="G3078" s="441">
        <f t="shared" si="117"/>
        <v>34.69</v>
      </c>
      <c r="H3078" s="130"/>
    </row>
    <row r="3079" spans="1:8" ht="14.1" customHeight="1">
      <c r="A3079" s="1117">
        <v>88267</v>
      </c>
      <c r="B3079" s="1119" t="s">
        <v>271</v>
      </c>
      <c r="C3079" s="438" t="s">
        <v>104</v>
      </c>
      <c r="D3079" s="1121" t="s">
        <v>383</v>
      </c>
      <c r="E3079" s="1132">
        <v>0.1525</v>
      </c>
      <c r="F3079" s="415">
        <f>'COMP AUX'!G338</f>
        <v>15.5</v>
      </c>
      <c r="G3079" s="441">
        <f t="shared" si="117"/>
        <v>2.36</v>
      </c>
      <c r="H3079" s="130"/>
    </row>
    <row r="3080" spans="1:8" ht="14.1" customHeight="1">
      <c r="A3080" s="1118"/>
      <c r="B3080" s="1120"/>
      <c r="C3080" s="438" t="s">
        <v>87</v>
      </c>
      <c r="D3080" s="1122"/>
      <c r="E3080" s="1133"/>
      <c r="F3080" s="415">
        <f>'COMP AUX'!G339</f>
        <v>4.4000000000000004</v>
      </c>
      <c r="G3080" s="441">
        <f>TRUNC(E3079*F3080,2)</f>
        <v>0.67</v>
      </c>
      <c r="H3080" s="130"/>
    </row>
    <row r="3081" spans="1:8" ht="14.1" customHeight="1">
      <c r="A3081" s="1117">
        <v>88316</v>
      </c>
      <c r="B3081" s="1119" t="s">
        <v>110</v>
      </c>
      <c r="C3081" s="438" t="s">
        <v>104</v>
      </c>
      <c r="D3081" s="1121" t="s">
        <v>383</v>
      </c>
      <c r="E3081" s="1132">
        <v>4.8099999999999997E-2</v>
      </c>
      <c r="F3081" s="415">
        <f>'COMP AUX'!G104</f>
        <v>11.18</v>
      </c>
      <c r="G3081" s="414">
        <f t="shared" ref="G3081" si="118">TRUNC(E3081*F3081,2)</f>
        <v>0.53</v>
      </c>
      <c r="H3081" s="130"/>
    </row>
    <row r="3082" spans="1:8" ht="14.1" customHeight="1">
      <c r="A3082" s="1118"/>
      <c r="B3082" s="1120"/>
      <c r="C3082" s="438" t="s">
        <v>87</v>
      </c>
      <c r="D3082" s="1122"/>
      <c r="E3082" s="1133"/>
      <c r="F3082" s="415">
        <f>'COMP AUX'!G105</f>
        <v>4.7300000000000004</v>
      </c>
      <c r="G3082" s="441">
        <f>TRUNC(E3081*F3082,2)</f>
        <v>0.22</v>
      </c>
      <c r="H3082" s="130"/>
    </row>
    <row r="3083" spans="1:8" ht="14.1" customHeight="1">
      <c r="A3083" s="130"/>
      <c r="B3083" s="130"/>
      <c r="C3083" s="130"/>
      <c r="D3083" s="130"/>
      <c r="E3083" s="130"/>
      <c r="F3083" s="416" t="s">
        <v>90</v>
      </c>
      <c r="G3083" s="414">
        <f>G3079+G3081</f>
        <v>2.8899999999999997</v>
      </c>
      <c r="H3083" s="130"/>
    </row>
    <row r="3084" spans="1:8" ht="14.1" customHeight="1">
      <c r="A3084" s="130"/>
      <c r="B3084" s="130"/>
      <c r="C3084" s="130"/>
      <c r="D3084" s="130"/>
      <c r="E3084" s="130"/>
      <c r="F3084" s="416" t="s">
        <v>92</v>
      </c>
      <c r="G3084" s="414">
        <f>G3077+G3078+G3080+G3082</f>
        <v>35.659999999999997</v>
      </c>
      <c r="H3084" s="130"/>
    </row>
    <row r="3085" spans="1:8" ht="14.1" customHeight="1">
      <c r="A3085" s="413" t="s">
        <v>94</v>
      </c>
      <c r="B3085" s="131"/>
      <c r="C3085" s="130"/>
      <c r="D3085" s="130"/>
      <c r="E3085" s="130"/>
      <c r="F3085" s="416" t="s">
        <v>93</v>
      </c>
      <c r="G3085" s="829">
        <f>SUM(G3083:G3084)</f>
        <v>38.549999999999997</v>
      </c>
      <c r="H3085" s="130"/>
    </row>
    <row r="3086" spans="1:8" ht="14.1" customHeight="1">
      <c r="A3086" s="361" t="s">
        <v>95</v>
      </c>
      <c r="B3086" s="385">
        <f>G3085</f>
        <v>38.549999999999997</v>
      </c>
      <c r="C3086" s="130"/>
      <c r="D3086" s="130"/>
      <c r="E3086" s="130"/>
      <c r="F3086" s="126"/>
      <c r="G3086" s="126"/>
      <c r="H3086" s="130"/>
    </row>
    <row r="3087" spans="1:8" ht="14.1" customHeight="1">
      <c r="A3087" s="382" t="s">
        <v>2272</v>
      </c>
      <c r="B3087" s="381"/>
      <c r="C3087" s="130"/>
      <c r="D3087" s="130"/>
      <c r="E3087" s="130"/>
      <c r="F3087" s="126"/>
      <c r="G3087" s="126"/>
      <c r="H3087" s="130"/>
    </row>
    <row r="3088" spans="1:8" ht="14.1" customHeight="1">
      <c r="A3088" s="443" t="s">
        <v>2311</v>
      </c>
      <c r="B3088" s="381">
        <f>(B3086+B3087)*0.245</f>
        <v>9.4447499999999991</v>
      </c>
      <c r="C3088" s="130"/>
      <c r="D3088" s="130"/>
      <c r="E3088" s="130"/>
      <c r="F3088" s="126"/>
      <c r="G3088" s="126"/>
      <c r="H3088" s="130"/>
    </row>
    <row r="3089" spans="1:8" ht="14.1" customHeight="1">
      <c r="A3089" s="361" t="s">
        <v>98</v>
      </c>
      <c r="B3089" s="386">
        <f>SUM(B3086:B3088)</f>
        <v>47.994749999999996</v>
      </c>
      <c r="C3089" s="130"/>
      <c r="D3089" s="130"/>
      <c r="E3089" s="130"/>
      <c r="F3089" s="126"/>
      <c r="G3089" s="126"/>
      <c r="H3089" s="419"/>
    </row>
    <row r="3090" spans="1:8">
      <c r="A3090" s="362"/>
      <c r="B3090" s="363"/>
      <c r="C3090" s="364"/>
      <c r="D3090" s="362"/>
      <c r="E3090" s="363"/>
      <c r="F3090" s="363"/>
      <c r="G3090" s="363"/>
      <c r="H3090" s="362"/>
    </row>
    <row r="3092" spans="1:8">
      <c r="A3092" s="826" t="s">
        <v>2710</v>
      </c>
    </row>
    <row r="3093" spans="1:8">
      <c r="A3093" s="1134" t="s">
        <v>2939</v>
      </c>
      <c r="B3093" s="1135"/>
      <c r="C3093" s="1135"/>
      <c r="D3093" s="1135"/>
      <c r="E3093" s="1135"/>
      <c r="F3093" s="1135"/>
      <c r="G3093" s="1135"/>
      <c r="H3093" s="1135"/>
    </row>
    <row r="3094" spans="1:8" ht="22.5" customHeight="1">
      <c r="A3094" s="481" t="s">
        <v>1548</v>
      </c>
      <c r="B3094" s="1116" t="s">
        <v>2940</v>
      </c>
      <c r="C3094" s="1116"/>
      <c r="D3094" s="1116"/>
      <c r="E3094" s="609" t="s">
        <v>1452</v>
      </c>
      <c r="F3094" s="937"/>
      <c r="G3094" s="937"/>
      <c r="H3094" s="937"/>
    </row>
    <row r="3095" spans="1:8" ht="20.399999999999999">
      <c r="A3095" s="945" t="s">
        <v>30</v>
      </c>
      <c r="B3095" s="354" t="s">
        <v>19</v>
      </c>
      <c r="C3095" s="293" t="s">
        <v>81</v>
      </c>
      <c r="D3095" s="908" t="s">
        <v>77</v>
      </c>
      <c r="E3095" s="908" t="s">
        <v>82</v>
      </c>
      <c r="F3095" s="909" t="s">
        <v>83</v>
      </c>
      <c r="G3095" s="355" t="s">
        <v>84</v>
      </c>
    </row>
    <row r="3096" spans="1:8" ht="14.1" customHeight="1">
      <c r="A3096" s="448" t="s">
        <v>265</v>
      </c>
      <c r="B3096" s="453" t="s">
        <v>266</v>
      </c>
      <c r="C3096" s="943" t="s">
        <v>87</v>
      </c>
      <c r="D3096" s="943" t="s">
        <v>5</v>
      </c>
      <c r="E3096" s="976">
        <v>2.1000000000000001E-2</v>
      </c>
      <c r="F3096" s="943">
        <v>4.24</v>
      </c>
      <c r="G3096" s="414">
        <f t="shared" ref="G3096:G3098" si="119">TRUNC(E3096*F3096,2)</f>
        <v>0.08</v>
      </c>
      <c r="H3096" s="937"/>
    </row>
    <row r="3097" spans="1:8" ht="20.399999999999999">
      <c r="A3097" s="942">
        <v>1368</v>
      </c>
      <c r="B3097" s="453" t="s">
        <v>2941</v>
      </c>
      <c r="C3097" s="943" t="s">
        <v>87</v>
      </c>
      <c r="D3097" s="943" t="s">
        <v>5</v>
      </c>
      <c r="E3097" s="976">
        <v>1</v>
      </c>
      <c r="F3097" s="415">
        <v>63.75</v>
      </c>
      <c r="G3097" s="441">
        <f t="shared" si="119"/>
        <v>63.75</v>
      </c>
      <c r="H3097" s="937"/>
    </row>
    <row r="3098" spans="1:8" ht="14.1" customHeight="1">
      <c r="A3098" s="1117">
        <v>88267</v>
      </c>
      <c r="B3098" s="1119" t="s">
        <v>271</v>
      </c>
      <c r="C3098" s="943" t="s">
        <v>104</v>
      </c>
      <c r="D3098" s="1121" t="s">
        <v>383</v>
      </c>
      <c r="E3098" s="1132">
        <v>0.44669999999999999</v>
      </c>
      <c r="F3098" s="415">
        <f>'COMP AUX'!G338</f>
        <v>15.5</v>
      </c>
      <c r="G3098" s="441">
        <f t="shared" si="119"/>
        <v>6.92</v>
      </c>
      <c r="H3098" s="937"/>
    </row>
    <row r="3099" spans="1:8" ht="14.1" customHeight="1">
      <c r="A3099" s="1118"/>
      <c r="B3099" s="1120"/>
      <c r="C3099" s="943" t="s">
        <v>87</v>
      </c>
      <c r="D3099" s="1122"/>
      <c r="E3099" s="1133"/>
      <c r="F3099" s="415">
        <f>'COMP AUX'!G339</f>
        <v>4.4000000000000004</v>
      </c>
      <c r="G3099" s="441">
        <f>TRUNC(E3098*F3099,2)</f>
        <v>1.96</v>
      </c>
      <c r="H3099" s="937"/>
    </row>
    <row r="3100" spans="1:8" ht="14.1" customHeight="1">
      <c r="A3100" s="1117">
        <v>88316</v>
      </c>
      <c r="B3100" s="1119" t="s">
        <v>110</v>
      </c>
      <c r="C3100" s="943" t="s">
        <v>104</v>
      </c>
      <c r="D3100" s="1121" t="s">
        <v>383</v>
      </c>
      <c r="E3100" s="1132">
        <v>0.14069999999999999</v>
      </c>
      <c r="F3100" s="415">
        <f>'COMP AUX'!G104</f>
        <v>11.18</v>
      </c>
      <c r="G3100" s="414">
        <f t="shared" ref="G3100" si="120">TRUNC(E3100*F3100,2)</f>
        <v>1.57</v>
      </c>
      <c r="H3100" s="937"/>
    </row>
    <row r="3101" spans="1:8" ht="14.1" customHeight="1">
      <c r="A3101" s="1118"/>
      <c r="B3101" s="1120"/>
      <c r="C3101" s="943" t="s">
        <v>87</v>
      </c>
      <c r="D3101" s="1122"/>
      <c r="E3101" s="1133"/>
      <c r="F3101" s="415">
        <f>'COMP AUX'!G105</f>
        <v>4.7300000000000004</v>
      </c>
      <c r="G3101" s="441">
        <f>TRUNC(E3100*F3101,2)</f>
        <v>0.66</v>
      </c>
      <c r="H3101" s="937"/>
    </row>
    <row r="3102" spans="1:8" ht="14.1" customHeight="1">
      <c r="A3102" s="937"/>
      <c r="B3102" s="937"/>
      <c r="C3102" s="937"/>
      <c r="D3102" s="937"/>
      <c r="E3102" s="937"/>
      <c r="F3102" s="416" t="s">
        <v>90</v>
      </c>
      <c r="G3102" s="414">
        <f>G3098+G3100</f>
        <v>8.49</v>
      </c>
      <c r="H3102" s="937"/>
    </row>
    <row r="3103" spans="1:8" ht="14.1" customHeight="1">
      <c r="A3103" s="937"/>
      <c r="B3103" s="937"/>
      <c r="C3103" s="937"/>
      <c r="D3103" s="937"/>
      <c r="E3103" s="937"/>
      <c r="F3103" s="416" t="s">
        <v>92</v>
      </c>
      <c r="G3103" s="414">
        <f>G3096+G3097+G3099+G3101</f>
        <v>66.449999999999989</v>
      </c>
      <c r="H3103" s="937"/>
    </row>
    <row r="3104" spans="1:8" ht="14.1" customHeight="1">
      <c r="A3104" s="413" t="s">
        <v>94</v>
      </c>
      <c r="B3104" s="952"/>
      <c r="C3104" s="937"/>
      <c r="D3104" s="937"/>
      <c r="E3104" s="937"/>
      <c r="F3104" s="416" t="s">
        <v>93</v>
      </c>
      <c r="G3104" s="829">
        <f>SUM(G3102:G3103)</f>
        <v>74.939999999999984</v>
      </c>
      <c r="H3104" s="937"/>
    </row>
    <row r="3105" spans="1:8" ht="14.1" customHeight="1">
      <c r="A3105" s="361" t="s">
        <v>95</v>
      </c>
      <c r="B3105" s="385">
        <f>G3104</f>
        <v>74.939999999999984</v>
      </c>
      <c r="C3105" s="937"/>
      <c r="D3105" s="937"/>
      <c r="E3105" s="937"/>
      <c r="F3105" s="126"/>
      <c r="G3105" s="126"/>
      <c r="H3105" s="937"/>
    </row>
    <row r="3106" spans="1:8" ht="14.1" customHeight="1">
      <c r="A3106" s="382" t="s">
        <v>2272</v>
      </c>
      <c r="B3106" s="381"/>
      <c r="C3106" s="937"/>
      <c r="D3106" s="937"/>
      <c r="E3106" s="937"/>
      <c r="F3106" s="126"/>
      <c r="G3106" s="126"/>
      <c r="H3106" s="937"/>
    </row>
    <row r="3107" spans="1:8" ht="14.1" customHeight="1">
      <c r="A3107" s="443" t="s">
        <v>2311</v>
      </c>
      <c r="B3107" s="381">
        <f>(B3105+B3106)*0.245</f>
        <v>18.360299999999995</v>
      </c>
      <c r="C3107" s="937"/>
      <c r="D3107" s="937"/>
      <c r="E3107" s="937"/>
      <c r="F3107" s="126"/>
      <c r="G3107" s="126"/>
      <c r="H3107" s="937"/>
    </row>
    <row r="3108" spans="1:8" ht="14.1" customHeight="1">
      <c r="A3108" s="361" t="s">
        <v>98</v>
      </c>
      <c r="B3108" s="386">
        <f>SUM(B3105:B3107)</f>
        <v>93.300299999999979</v>
      </c>
      <c r="C3108" s="937"/>
      <c r="D3108" s="937"/>
      <c r="E3108" s="937"/>
      <c r="F3108" s="126"/>
      <c r="G3108" s="126"/>
      <c r="H3108" s="419"/>
    </row>
    <row r="3109" spans="1:8">
      <c r="A3109" s="362"/>
      <c r="B3109" s="363"/>
      <c r="C3109" s="364"/>
      <c r="D3109" s="362"/>
      <c r="E3109" s="363"/>
      <c r="F3109" s="363"/>
      <c r="G3109" s="363"/>
      <c r="H3109" s="362"/>
    </row>
    <row r="3110" spans="1:8">
      <c r="A3110" s="826" t="s">
        <v>2943</v>
      </c>
    </row>
    <row r="3111" spans="1:8">
      <c r="A3111" s="1134" t="s">
        <v>2942</v>
      </c>
      <c r="B3111" s="1135"/>
      <c r="C3111" s="1135"/>
      <c r="D3111" s="1135"/>
      <c r="E3111" s="1135"/>
      <c r="F3111" s="1135"/>
      <c r="G3111" s="1135"/>
      <c r="H3111" s="1135"/>
    </row>
    <row r="3112" spans="1:8" ht="22.5" customHeight="1">
      <c r="A3112" s="481" t="s">
        <v>1548</v>
      </c>
      <c r="B3112" s="1116" t="s">
        <v>2944</v>
      </c>
      <c r="C3112" s="1116"/>
      <c r="D3112" s="1116"/>
      <c r="E3112" s="609" t="s">
        <v>1452</v>
      </c>
      <c r="F3112" s="937"/>
      <c r="G3112" s="937"/>
      <c r="H3112" s="937"/>
    </row>
    <row r="3113" spans="1:8" ht="20.399999999999999">
      <c r="A3113" s="945" t="s">
        <v>30</v>
      </c>
      <c r="B3113" s="354" t="s">
        <v>19</v>
      </c>
      <c r="C3113" s="293" t="s">
        <v>81</v>
      </c>
      <c r="D3113" s="908" t="s">
        <v>77</v>
      </c>
      <c r="E3113" s="908" t="s">
        <v>82</v>
      </c>
      <c r="F3113" s="909" t="s">
        <v>83</v>
      </c>
      <c r="G3113" s="355" t="s">
        <v>84</v>
      </c>
    </row>
    <row r="3114" spans="1:8">
      <c r="A3114" s="942" t="s">
        <v>2948</v>
      </c>
      <c r="B3114" s="453" t="s">
        <v>2947</v>
      </c>
      <c r="C3114" s="943" t="s">
        <v>87</v>
      </c>
      <c r="D3114" s="943" t="s">
        <v>5</v>
      </c>
      <c r="E3114" s="976">
        <v>1</v>
      </c>
      <c r="F3114" s="415">
        <v>231.57</v>
      </c>
      <c r="G3114" s="441">
        <f t="shared" ref="G3114:G3115" si="121">TRUNC(E3114*F3114,2)</f>
        <v>231.57</v>
      </c>
      <c r="H3114" s="937"/>
    </row>
    <row r="3115" spans="1:8" ht="25.5" customHeight="1">
      <c r="A3115" s="926" t="s">
        <v>2945</v>
      </c>
      <c r="B3115" s="928" t="s">
        <v>271</v>
      </c>
      <c r="C3115" s="943" t="s">
        <v>104</v>
      </c>
      <c r="D3115" s="922" t="s">
        <v>383</v>
      </c>
      <c r="E3115" s="977">
        <v>0.5</v>
      </c>
      <c r="F3115" s="415">
        <v>5.6</v>
      </c>
      <c r="G3115" s="441">
        <f t="shared" si="121"/>
        <v>2.8</v>
      </c>
      <c r="H3115" s="937"/>
    </row>
    <row r="3116" spans="1:8" ht="14.1" customHeight="1">
      <c r="A3116" s="942" t="s">
        <v>2946</v>
      </c>
      <c r="B3116" s="944" t="s">
        <v>713</v>
      </c>
      <c r="C3116" s="943" t="s">
        <v>104</v>
      </c>
      <c r="D3116" s="943" t="s">
        <v>383</v>
      </c>
      <c r="E3116" s="976">
        <v>0.5</v>
      </c>
      <c r="F3116" s="415">
        <v>7.19</v>
      </c>
      <c r="G3116" s="414">
        <f t="shared" ref="G3116" si="122">TRUNC(E3116*F3116,2)</f>
        <v>3.59</v>
      </c>
      <c r="H3116" s="937"/>
    </row>
    <row r="3117" spans="1:8" ht="14.1" customHeight="1">
      <c r="A3117" s="937"/>
      <c r="B3117" s="937"/>
      <c r="C3117" s="937"/>
      <c r="D3117" s="937"/>
      <c r="E3117" s="937"/>
      <c r="F3117" s="416" t="s">
        <v>90</v>
      </c>
      <c r="G3117" s="414"/>
      <c r="H3117" s="937"/>
    </row>
    <row r="3118" spans="1:8" ht="14.1" customHeight="1">
      <c r="A3118" s="937"/>
      <c r="B3118" s="937"/>
      <c r="C3118" s="937"/>
      <c r="D3118" s="937"/>
      <c r="E3118" s="937"/>
      <c r="F3118" s="416" t="s">
        <v>92</v>
      </c>
      <c r="G3118" s="414"/>
      <c r="H3118" s="937"/>
    </row>
    <row r="3119" spans="1:8" ht="14.1" customHeight="1">
      <c r="A3119" s="413" t="s">
        <v>94</v>
      </c>
      <c r="B3119" s="952"/>
      <c r="C3119" s="937"/>
      <c r="D3119" s="937"/>
      <c r="E3119" s="937"/>
      <c r="F3119" s="416" t="s">
        <v>93</v>
      </c>
      <c r="G3119" s="829">
        <f>SUM(G3114:G3118)</f>
        <v>237.96</v>
      </c>
      <c r="H3119" s="937"/>
    </row>
    <row r="3120" spans="1:8" ht="14.1" customHeight="1">
      <c r="A3120" s="361" t="s">
        <v>95</v>
      </c>
      <c r="B3120" s="385">
        <f>G3119</f>
        <v>237.96</v>
      </c>
      <c r="C3120" s="937"/>
      <c r="D3120" s="937"/>
      <c r="E3120" s="937"/>
      <c r="F3120" s="126"/>
      <c r="G3120" s="126"/>
      <c r="H3120" s="937"/>
    </row>
    <row r="3121" spans="1:8" ht="14.1" customHeight="1">
      <c r="A3121" s="382" t="s">
        <v>2272</v>
      </c>
      <c r="B3121" s="381"/>
      <c r="C3121" s="937"/>
      <c r="D3121" s="937"/>
      <c r="E3121" s="937"/>
      <c r="F3121" s="126"/>
      <c r="G3121" s="126"/>
      <c r="H3121" s="937"/>
    </row>
    <row r="3122" spans="1:8" ht="14.1" customHeight="1">
      <c r="A3122" s="443" t="s">
        <v>2311</v>
      </c>
      <c r="B3122" s="381">
        <f>(B3120+B3121)*0.245</f>
        <v>58.300200000000004</v>
      </c>
      <c r="C3122" s="937"/>
      <c r="D3122" s="937"/>
      <c r="E3122" s="937"/>
      <c r="F3122" s="126"/>
      <c r="G3122" s="126"/>
      <c r="H3122" s="937"/>
    </row>
    <row r="3123" spans="1:8" ht="14.1" customHeight="1">
      <c r="A3123" s="361" t="s">
        <v>98</v>
      </c>
      <c r="B3123" s="386">
        <f>SUM(B3120:B3122)</f>
        <v>296.2602</v>
      </c>
      <c r="C3123" s="937"/>
      <c r="D3123" s="937"/>
      <c r="E3123" s="937"/>
      <c r="F3123" s="126"/>
      <c r="G3123" s="126"/>
      <c r="H3123" s="419"/>
    </row>
    <row r="3124" spans="1:8">
      <c r="A3124" s="362"/>
      <c r="B3124" s="363"/>
      <c r="C3124" s="364"/>
      <c r="D3124" s="362"/>
      <c r="E3124" s="363"/>
      <c r="F3124" s="363"/>
      <c r="G3124" s="363"/>
      <c r="H3124" s="362"/>
    </row>
    <row r="3126" spans="1:8" ht="14.25" customHeight="1">
      <c r="A3126" s="826" t="s">
        <v>2710</v>
      </c>
    </row>
    <row r="3127" spans="1:8" ht="15" customHeight="1">
      <c r="A3127" s="949" t="s">
        <v>2949</v>
      </c>
      <c r="B3127" s="950"/>
      <c r="C3127" s="950"/>
      <c r="D3127" s="950"/>
      <c r="E3127" s="950"/>
      <c r="F3127" s="950"/>
      <c r="G3127" s="950"/>
      <c r="H3127" s="950"/>
    </row>
    <row r="3128" spans="1:8" ht="29.25" customHeight="1">
      <c r="A3128" s="452" t="s">
        <v>1548</v>
      </c>
      <c r="B3128" s="1136" t="s">
        <v>2950</v>
      </c>
      <c r="C3128" s="1136"/>
      <c r="D3128" s="1136"/>
      <c r="E3128" s="411" t="s">
        <v>1452</v>
      </c>
      <c r="F3128" s="952"/>
      <c r="G3128" s="952"/>
      <c r="H3128" s="952"/>
    </row>
    <row r="3129" spans="1:8" ht="20.399999999999999">
      <c r="A3129" s="945" t="s">
        <v>30</v>
      </c>
      <c r="B3129" s="354" t="s">
        <v>19</v>
      </c>
      <c r="C3129" s="293" t="s">
        <v>81</v>
      </c>
      <c r="D3129" s="908" t="s">
        <v>77</v>
      </c>
      <c r="E3129" s="908" t="s">
        <v>82</v>
      </c>
      <c r="F3129" s="909" t="s">
        <v>83</v>
      </c>
      <c r="G3129" s="355" t="s">
        <v>84</v>
      </c>
      <c r="H3129" s="952"/>
    </row>
    <row r="3130" spans="1:8" ht="20.25" customHeight="1">
      <c r="A3130" s="492">
        <v>89354</v>
      </c>
      <c r="B3130" s="451" t="s">
        <v>2951</v>
      </c>
      <c r="C3130" s="395" t="s">
        <v>108</v>
      </c>
      <c r="D3130" s="395" t="s">
        <v>5</v>
      </c>
      <c r="E3130" s="395" t="s">
        <v>101</v>
      </c>
      <c r="F3130" s="395">
        <v>242.63</v>
      </c>
      <c r="G3130" s="445">
        <f t="shared" ref="G3130:G3135" si="123">TRUNC(E3130*F3130,2)</f>
        <v>242.63</v>
      </c>
      <c r="H3130" s="952"/>
    </row>
    <row r="3131" spans="1:8" ht="20.399999999999999">
      <c r="A3131" s="492">
        <v>89634</v>
      </c>
      <c r="B3131" s="451" t="s">
        <v>2952</v>
      </c>
      <c r="C3131" s="395" t="s">
        <v>108</v>
      </c>
      <c r="D3131" s="395" t="s">
        <v>5</v>
      </c>
      <c r="E3131" s="395">
        <v>2</v>
      </c>
      <c r="F3131" s="395">
        <v>31.07</v>
      </c>
      <c r="G3131" s="445">
        <f t="shared" si="123"/>
        <v>62.14</v>
      </c>
      <c r="H3131" s="952"/>
    </row>
    <row r="3132" spans="1:8" ht="20.399999999999999">
      <c r="A3132" s="492">
        <v>89641</v>
      </c>
      <c r="B3132" s="451" t="s">
        <v>2953</v>
      </c>
      <c r="C3132" s="395" t="s">
        <v>108</v>
      </c>
      <c r="D3132" s="395" t="s">
        <v>5</v>
      </c>
      <c r="E3132" s="395" t="s">
        <v>101</v>
      </c>
      <c r="F3132" s="395">
        <v>12.24</v>
      </c>
      <c r="G3132" s="445">
        <f t="shared" si="123"/>
        <v>12.24</v>
      </c>
      <c r="H3132" s="952"/>
    </row>
    <row r="3133" spans="1:8" ht="30.6">
      <c r="A3133" s="492">
        <v>89645</v>
      </c>
      <c r="B3133" s="451" t="s">
        <v>2954</v>
      </c>
      <c r="C3133" s="395" t="s">
        <v>108</v>
      </c>
      <c r="D3133" s="395" t="s">
        <v>5</v>
      </c>
      <c r="E3133" s="395" t="s">
        <v>101</v>
      </c>
      <c r="F3133" s="395">
        <v>28.91</v>
      </c>
      <c r="G3133" s="445">
        <f t="shared" si="123"/>
        <v>28.91</v>
      </c>
      <c r="H3133" s="952"/>
    </row>
    <row r="3134" spans="1:8" ht="20.399999999999999">
      <c r="A3134" s="492">
        <v>89660</v>
      </c>
      <c r="B3134" s="451" t="s">
        <v>2955</v>
      </c>
      <c r="C3134" s="395" t="s">
        <v>108</v>
      </c>
      <c r="D3134" s="395" t="s">
        <v>5</v>
      </c>
      <c r="E3134" s="395" t="s">
        <v>101</v>
      </c>
      <c r="F3134" s="395">
        <v>7.51</v>
      </c>
      <c r="G3134" s="445">
        <f t="shared" si="123"/>
        <v>7.51</v>
      </c>
      <c r="H3134" s="952"/>
    </row>
    <row r="3135" spans="1:8" ht="20.399999999999999">
      <c r="A3135" s="492">
        <v>89668</v>
      </c>
      <c r="B3135" s="451" t="s">
        <v>2956</v>
      </c>
      <c r="C3135" s="395" t="s">
        <v>108</v>
      </c>
      <c r="D3135" s="395" t="s">
        <v>5</v>
      </c>
      <c r="E3135" s="395">
        <v>3</v>
      </c>
      <c r="F3135" s="395">
        <v>32.119999999999997</v>
      </c>
      <c r="G3135" s="445">
        <f t="shared" si="123"/>
        <v>96.36</v>
      </c>
      <c r="H3135" s="952"/>
    </row>
    <row r="3136" spans="1:8" ht="14.1" customHeight="1">
      <c r="A3136" s="952"/>
      <c r="B3136" s="952"/>
      <c r="C3136" s="952"/>
      <c r="D3136" s="952"/>
      <c r="E3136" s="952"/>
      <c r="F3136" s="447" t="s">
        <v>90</v>
      </c>
      <c r="G3136" s="444">
        <v>37.99</v>
      </c>
      <c r="H3136" s="952"/>
    </row>
    <row r="3137" spans="1:8" ht="14.1" customHeight="1">
      <c r="A3137" s="952"/>
      <c r="B3137" s="952"/>
      <c r="C3137" s="952"/>
      <c r="D3137" s="952"/>
      <c r="E3137" s="952"/>
      <c r="F3137" s="447" t="s">
        <v>92</v>
      </c>
      <c r="G3137" s="444">
        <f>G3138-G3136</f>
        <v>411.8</v>
      </c>
      <c r="H3137" s="952"/>
    </row>
    <row r="3138" spans="1:8" ht="14.1" customHeight="1">
      <c r="A3138" s="413" t="s">
        <v>94</v>
      </c>
      <c r="B3138" s="952"/>
      <c r="C3138" s="952"/>
      <c r="D3138" s="952"/>
      <c r="E3138" s="952"/>
      <c r="F3138" s="447" t="s">
        <v>93</v>
      </c>
      <c r="G3138" s="975">
        <f>SUM(G3130:G3135)</f>
        <v>449.79</v>
      </c>
      <c r="H3138" s="952"/>
    </row>
    <row r="3139" spans="1:8" ht="14.1" customHeight="1">
      <c r="A3139" s="361" t="s">
        <v>95</v>
      </c>
      <c r="B3139" s="385">
        <f>G3138</f>
        <v>449.79</v>
      </c>
      <c r="C3139" s="952"/>
      <c r="D3139" s="952"/>
      <c r="E3139" s="952"/>
      <c r="F3139" s="132"/>
      <c r="G3139" s="132"/>
      <c r="H3139" s="952"/>
    </row>
    <row r="3140" spans="1:8" ht="14.1" customHeight="1">
      <c r="A3140" s="382" t="s">
        <v>2272</v>
      </c>
      <c r="B3140" s="381"/>
      <c r="C3140" s="952"/>
      <c r="D3140" s="952"/>
      <c r="E3140" s="952"/>
      <c r="F3140" s="132"/>
      <c r="G3140" s="132"/>
      <c r="H3140" s="952"/>
    </row>
    <row r="3141" spans="1:8" ht="14.1" customHeight="1">
      <c r="A3141" s="443" t="s">
        <v>2311</v>
      </c>
      <c r="B3141" s="381">
        <f>(B3139+B3140)*0.245</f>
        <v>110.19855</v>
      </c>
      <c r="C3141" s="952"/>
      <c r="D3141" s="952"/>
      <c r="E3141" s="952"/>
      <c r="F3141" s="132"/>
      <c r="G3141" s="132"/>
      <c r="H3141" s="952"/>
    </row>
    <row r="3142" spans="1:8" ht="14.1" customHeight="1">
      <c r="A3142" s="361" t="s">
        <v>98</v>
      </c>
      <c r="B3142" s="386">
        <f>SUM(B3139:B3141)</f>
        <v>559.98855000000003</v>
      </c>
      <c r="C3142" s="952"/>
      <c r="D3142" s="952"/>
      <c r="E3142" s="952"/>
      <c r="F3142" s="132"/>
      <c r="G3142" s="132"/>
      <c r="H3142" s="952"/>
    </row>
    <row r="3143" spans="1:8">
      <c r="A3143" s="362"/>
      <c r="B3143" s="363"/>
      <c r="C3143" s="364"/>
      <c r="D3143" s="362"/>
      <c r="E3143" s="363"/>
      <c r="F3143" s="363"/>
      <c r="G3143" s="363"/>
      <c r="H3143" s="362"/>
    </row>
    <row r="3145" spans="1:8">
      <c r="A3145" s="826" t="s">
        <v>2710</v>
      </c>
    </row>
    <row r="3146" spans="1:8">
      <c r="A3146" s="409" t="s">
        <v>2303</v>
      </c>
      <c r="B3146" s="422" t="s">
        <v>2304</v>
      </c>
      <c r="C3146" s="410"/>
      <c r="D3146" s="410"/>
      <c r="E3146" s="410"/>
      <c r="F3146" s="410"/>
      <c r="G3146" s="410"/>
      <c r="H3146" s="410"/>
    </row>
    <row r="3147" spans="1:8" ht="18" customHeight="1">
      <c r="A3147" s="452" t="s">
        <v>1548</v>
      </c>
      <c r="B3147" s="452" t="s">
        <v>2306</v>
      </c>
      <c r="C3147" s="411" t="s">
        <v>1452</v>
      </c>
      <c r="D3147" s="452"/>
      <c r="E3147" s="122"/>
      <c r="F3147" s="131"/>
      <c r="G3147" s="131"/>
      <c r="H3147" s="131"/>
    </row>
    <row r="3148" spans="1:8" ht="20.399999999999999">
      <c r="A3148" s="309" t="s">
        <v>30</v>
      </c>
      <c r="B3148" s="354" t="s">
        <v>19</v>
      </c>
      <c r="C3148" s="293" t="s">
        <v>81</v>
      </c>
      <c r="D3148" s="294" t="s">
        <v>77</v>
      </c>
      <c r="E3148" s="294" t="s">
        <v>82</v>
      </c>
      <c r="F3148" s="295" t="s">
        <v>83</v>
      </c>
      <c r="G3148" s="355" t="s">
        <v>84</v>
      </c>
      <c r="H3148" s="131"/>
    </row>
    <row r="3149" spans="1:8" ht="14.1" customHeight="1">
      <c r="A3149" s="1117">
        <v>88267</v>
      </c>
      <c r="B3149" s="1119" t="s">
        <v>271</v>
      </c>
      <c r="C3149" s="438" t="s">
        <v>104</v>
      </c>
      <c r="D3149" s="1121" t="s">
        <v>383</v>
      </c>
      <c r="E3149" s="1210">
        <v>3</v>
      </c>
      <c r="F3149" s="415">
        <f>'COMP AUX'!G338</f>
        <v>15.5</v>
      </c>
      <c r="G3149" s="441">
        <f t="shared" ref="G3149" si="124">TRUNC(E3149*F3149,2)</f>
        <v>46.5</v>
      </c>
      <c r="H3149" s="131"/>
    </row>
    <row r="3150" spans="1:8" ht="14.1" customHeight="1">
      <c r="A3150" s="1118"/>
      <c r="B3150" s="1120"/>
      <c r="C3150" s="438" t="s">
        <v>87</v>
      </c>
      <c r="D3150" s="1122"/>
      <c r="E3150" s="1211"/>
      <c r="F3150" s="415">
        <f>'COMP AUX'!G339</f>
        <v>4.4000000000000004</v>
      </c>
      <c r="G3150" s="441">
        <f>TRUNC(E3149*F3150,2)</f>
        <v>13.2</v>
      </c>
      <c r="H3150" s="131"/>
    </row>
    <row r="3151" spans="1:8" ht="14.1" customHeight="1">
      <c r="A3151" s="1117">
        <v>88316</v>
      </c>
      <c r="B3151" s="1119" t="s">
        <v>110</v>
      </c>
      <c r="C3151" s="438" t="s">
        <v>104</v>
      </c>
      <c r="D3151" s="1121" t="s">
        <v>383</v>
      </c>
      <c r="E3151" s="1210">
        <v>3</v>
      </c>
      <c r="F3151" s="415">
        <f>'COMP AUX'!G104</f>
        <v>11.18</v>
      </c>
      <c r="G3151" s="414">
        <f t="shared" ref="G3151" si="125">TRUNC(E3151*F3151,2)</f>
        <v>33.54</v>
      </c>
      <c r="H3151" s="131"/>
    </row>
    <row r="3152" spans="1:8" ht="14.1" customHeight="1">
      <c r="A3152" s="1118"/>
      <c r="B3152" s="1120"/>
      <c r="C3152" s="438" t="s">
        <v>87</v>
      </c>
      <c r="D3152" s="1122"/>
      <c r="E3152" s="1211"/>
      <c r="F3152" s="415">
        <f>'COMP AUX'!G105</f>
        <v>4.7300000000000004</v>
      </c>
      <c r="G3152" s="441">
        <f>TRUNC(E3151*F3152,2)</f>
        <v>14.19</v>
      </c>
      <c r="H3152" s="131"/>
    </row>
    <row r="3153" spans="1:8" ht="30" customHeight="1">
      <c r="A3153" s="604">
        <v>11688</v>
      </c>
      <c r="B3153" s="605" t="s">
        <v>2308</v>
      </c>
      <c r="C3153" s="438" t="s">
        <v>87</v>
      </c>
      <c r="D3153" s="602" t="s">
        <v>1452</v>
      </c>
      <c r="E3153" s="606">
        <v>1</v>
      </c>
      <c r="F3153" s="415">
        <v>365.16</v>
      </c>
      <c r="G3153" s="441">
        <f>TRUNC(E3153*F3153,2)</f>
        <v>365.16</v>
      </c>
      <c r="H3153" s="131"/>
    </row>
    <row r="3154" spans="1:8" ht="30.6">
      <c r="A3154" s="604">
        <v>4351</v>
      </c>
      <c r="B3154" s="605" t="s">
        <v>2305</v>
      </c>
      <c r="C3154" s="438" t="s">
        <v>87</v>
      </c>
      <c r="D3154" s="602" t="s">
        <v>1452</v>
      </c>
      <c r="E3154" s="606">
        <v>6</v>
      </c>
      <c r="F3154" s="415">
        <v>11.55</v>
      </c>
      <c r="G3154" s="414">
        <f>TRUNC(E3154*F3154,2)</f>
        <v>69.3</v>
      </c>
      <c r="H3154" s="131"/>
    </row>
    <row r="3155" spans="1:8" ht="14.1" customHeight="1">
      <c r="A3155" s="942">
        <v>3146</v>
      </c>
      <c r="B3155" s="453" t="s">
        <v>266</v>
      </c>
      <c r="C3155" s="438" t="s">
        <v>87</v>
      </c>
      <c r="D3155" s="602" t="s">
        <v>1452</v>
      </c>
      <c r="E3155" s="606">
        <v>0.75</v>
      </c>
      <c r="F3155" s="415">
        <v>4.24</v>
      </c>
      <c r="G3155" s="414">
        <f t="shared" ref="G3155:G3156" si="126">TRUNC(E3155*F3155,2)</f>
        <v>3.18</v>
      </c>
      <c r="H3155" s="131"/>
    </row>
    <row r="3156" spans="1:8" ht="14.1" customHeight="1">
      <c r="A3156" s="492">
        <v>38638</v>
      </c>
      <c r="B3156" s="451" t="s">
        <v>2307</v>
      </c>
      <c r="C3156" s="395" t="s">
        <v>87</v>
      </c>
      <c r="D3156" s="395" t="s">
        <v>1452</v>
      </c>
      <c r="E3156" s="406">
        <v>1</v>
      </c>
      <c r="F3156" s="395">
        <v>158.47999999999999</v>
      </c>
      <c r="G3156" s="414">
        <f t="shared" si="126"/>
        <v>158.47999999999999</v>
      </c>
      <c r="H3156" s="131"/>
    </row>
    <row r="3157" spans="1:8" ht="14.1" customHeight="1">
      <c r="A3157" s="131"/>
      <c r="B3157" s="131"/>
      <c r="C3157" s="131"/>
      <c r="D3157" s="131"/>
      <c r="E3157" s="131"/>
      <c r="F3157" s="447" t="s">
        <v>90</v>
      </c>
      <c r="G3157" s="621">
        <f>G3149+G3151</f>
        <v>80.039999999999992</v>
      </c>
      <c r="H3157" s="131"/>
    </row>
    <row r="3158" spans="1:8" ht="14.1" customHeight="1">
      <c r="A3158" s="131"/>
      <c r="B3158" s="131"/>
      <c r="C3158" s="131"/>
      <c r="D3158" s="131"/>
      <c r="E3158" s="131"/>
      <c r="F3158" s="447" t="s">
        <v>92</v>
      </c>
      <c r="G3158" s="621">
        <f>G3150+G3152+G3153+G3154+G3155+G3156</f>
        <v>623.51</v>
      </c>
      <c r="H3158" s="131"/>
    </row>
    <row r="3159" spans="1:8" ht="14.1" customHeight="1">
      <c r="A3159" s="413" t="s">
        <v>94</v>
      </c>
      <c r="B3159" s="131"/>
      <c r="C3159" s="131"/>
      <c r="D3159" s="131"/>
      <c r="E3159" s="131"/>
      <c r="F3159" s="447" t="s">
        <v>93</v>
      </c>
      <c r="G3159" s="974">
        <f>SUM(G3157:G3158)</f>
        <v>703.55</v>
      </c>
      <c r="H3159" s="131"/>
    </row>
    <row r="3160" spans="1:8" ht="14.1" customHeight="1">
      <c r="A3160" s="361" t="s">
        <v>95</v>
      </c>
      <c r="B3160" s="385">
        <f>G3159</f>
        <v>703.55</v>
      </c>
      <c r="C3160" s="131"/>
      <c r="D3160" s="131"/>
      <c r="E3160" s="131"/>
      <c r="F3160" s="132"/>
      <c r="G3160" s="132"/>
      <c r="H3160" s="131"/>
    </row>
    <row r="3161" spans="1:8" ht="14.1" customHeight="1">
      <c r="A3161" s="382" t="s">
        <v>2272</v>
      </c>
      <c r="B3161" s="381"/>
      <c r="C3161" s="131"/>
      <c r="D3161" s="131"/>
      <c r="E3161" s="131"/>
      <c r="F3161" s="132"/>
      <c r="G3161" s="132"/>
      <c r="H3161" s="131"/>
    </row>
    <row r="3162" spans="1:8" ht="14.1" customHeight="1">
      <c r="A3162" s="443" t="s">
        <v>2311</v>
      </c>
      <c r="B3162" s="381">
        <f>(B3160+B3161)*0.245</f>
        <v>172.36974999999998</v>
      </c>
      <c r="C3162" s="131"/>
      <c r="D3162" s="131"/>
      <c r="E3162" s="131"/>
      <c r="F3162" s="132"/>
      <c r="G3162" s="132"/>
      <c r="H3162" s="131"/>
    </row>
    <row r="3163" spans="1:8" ht="14.1" customHeight="1">
      <c r="A3163" s="361" t="s">
        <v>98</v>
      </c>
      <c r="B3163" s="386">
        <f>SUM(B3160:B3162)</f>
        <v>875.91974999999991</v>
      </c>
      <c r="C3163" s="131"/>
      <c r="D3163" s="131"/>
      <c r="E3163" s="131"/>
      <c r="F3163" s="132"/>
      <c r="G3163" s="132"/>
      <c r="H3163" s="408"/>
    </row>
    <row r="3164" spans="1:8">
      <c r="A3164" s="362"/>
      <c r="B3164" s="363"/>
      <c r="C3164" s="364"/>
      <c r="D3164" s="362"/>
      <c r="E3164" s="363"/>
      <c r="F3164" s="363"/>
      <c r="G3164" s="363"/>
      <c r="H3164" s="362"/>
    </row>
    <row r="3166" spans="1:8">
      <c r="A3166" s="122" t="s">
        <v>1287</v>
      </c>
    </row>
    <row r="3167" spans="1:8">
      <c r="A3167" s="1202" t="s">
        <v>1017</v>
      </c>
      <c r="B3167" s="1203"/>
      <c r="C3167" s="1203"/>
      <c r="D3167" s="1203"/>
      <c r="E3167" s="1203"/>
      <c r="F3167" s="1203"/>
      <c r="G3167" s="1203"/>
      <c r="H3167" s="1203"/>
    </row>
    <row r="3168" spans="1:8" ht="25.5" customHeight="1">
      <c r="A3168" s="420" t="s">
        <v>1549</v>
      </c>
      <c r="B3168" s="1116" t="s">
        <v>2349</v>
      </c>
      <c r="C3168" s="1116"/>
      <c r="D3168" s="637" t="s">
        <v>1452</v>
      </c>
      <c r="E3168" s="130"/>
      <c r="F3168" s="130"/>
      <c r="G3168" s="130"/>
      <c r="H3168" s="130"/>
    </row>
    <row r="3169" spans="1:8" ht="20.399999999999999">
      <c r="A3169" s="309" t="s">
        <v>30</v>
      </c>
      <c r="B3169" s="354" t="s">
        <v>19</v>
      </c>
      <c r="C3169" s="293" t="s">
        <v>81</v>
      </c>
      <c r="D3169" s="294" t="s">
        <v>77</v>
      </c>
      <c r="E3169" s="294" t="s">
        <v>82</v>
      </c>
      <c r="F3169" s="295" t="s">
        <v>83</v>
      </c>
      <c r="G3169" s="355" t="s">
        <v>84</v>
      </c>
      <c r="H3169" s="131"/>
    </row>
    <row r="3170" spans="1:8" ht="20.399999999999999">
      <c r="A3170" s="448" t="s">
        <v>1018</v>
      </c>
      <c r="B3170" s="453" t="s">
        <v>1019</v>
      </c>
      <c r="C3170" s="438" t="s">
        <v>87</v>
      </c>
      <c r="D3170" s="438" t="s">
        <v>5</v>
      </c>
      <c r="E3170" s="438" t="s">
        <v>101</v>
      </c>
      <c r="F3170" s="438" t="s">
        <v>1020</v>
      </c>
      <c r="G3170" s="441">
        <f t="shared" ref="G3170:G3173" si="127">TRUNC(E3170*F3170,2)</f>
        <v>386.76</v>
      </c>
      <c r="H3170" s="130"/>
    </row>
    <row r="3171" spans="1:8" ht="20.399999999999999">
      <c r="A3171" s="448" t="s">
        <v>155</v>
      </c>
      <c r="B3171" s="453" t="s">
        <v>156</v>
      </c>
      <c r="C3171" s="438" t="s">
        <v>104</v>
      </c>
      <c r="D3171" s="438" t="s">
        <v>105</v>
      </c>
      <c r="E3171" s="438" t="s">
        <v>1021</v>
      </c>
      <c r="F3171" s="438" t="s">
        <v>157</v>
      </c>
      <c r="G3171" s="441">
        <f t="shared" si="127"/>
        <v>292.35000000000002</v>
      </c>
      <c r="H3171" s="130"/>
    </row>
    <row r="3172" spans="1:8" ht="20.399999999999999">
      <c r="A3172" s="448" t="s">
        <v>1022</v>
      </c>
      <c r="B3172" s="453" t="s">
        <v>1023</v>
      </c>
      <c r="C3172" s="438" t="s">
        <v>104</v>
      </c>
      <c r="D3172" s="438" t="s">
        <v>105</v>
      </c>
      <c r="E3172" s="438" t="s">
        <v>1024</v>
      </c>
      <c r="F3172" s="438" t="s">
        <v>782</v>
      </c>
      <c r="G3172" s="441">
        <f t="shared" si="127"/>
        <v>125.91</v>
      </c>
      <c r="H3172" s="130"/>
    </row>
    <row r="3173" spans="1:8" ht="20.399999999999999">
      <c r="A3173" s="448" t="s">
        <v>171</v>
      </c>
      <c r="B3173" s="453" t="s">
        <v>172</v>
      </c>
      <c r="C3173" s="438" t="s">
        <v>104</v>
      </c>
      <c r="D3173" s="438" t="s">
        <v>105</v>
      </c>
      <c r="E3173" s="438" t="s">
        <v>1025</v>
      </c>
      <c r="F3173" s="438" t="s">
        <v>173</v>
      </c>
      <c r="G3173" s="441">
        <f t="shared" si="127"/>
        <v>187.64</v>
      </c>
      <c r="H3173" s="130"/>
    </row>
    <row r="3174" spans="1:8" ht="14.1" customHeight="1">
      <c r="A3174" s="130"/>
      <c r="B3174" s="130"/>
      <c r="C3174" s="130"/>
      <c r="D3174" s="130"/>
      <c r="E3174" s="130"/>
      <c r="F3174" s="416" t="s">
        <v>90</v>
      </c>
      <c r="G3174" s="441" t="s">
        <v>1026</v>
      </c>
      <c r="H3174" s="130"/>
    </row>
    <row r="3175" spans="1:8" ht="14.1" customHeight="1">
      <c r="A3175" s="130"/>
      <c r="B3175" s="130"/>
      <c r="C3175" s="130"/>
      <c r="D3175" s="130"/>
      <c r="E3175" s="130"/>
      <c r="F3175" s="416" t="s">
        <v>92</v>
      </c>
      <c r="G3175" s="441" t="s">
        <v>1020</v>
      </c>
      <c r="H3175" s="130"/>
    </row>
    <row r="3176" spans="1:8" ht="14.1" customHeight="1">
      <c r="A3176" s="413" t="s">
        <v>94</v>
      </c>
      <c r="B3176" s="131"/>
      <c r="C3176" s="130"/>
      <c r="D3176" s="130"/>
      <c r="E3176" s="130"/>
      <c r="F3176" s="416" t="s">
        <v>93</v>
      </c>
      <c r="G3176" s="441" t="s">
        <v>1027</v>
      </c>
      <c r="H3176" s="130"/>
    </row>
    <row r="3177" spans="1:8" ht="14.1" customHeight="1">
      <c r="A3177" s="361" t="s">
        <v>95</v>
      </c>
      <c r="B3177" s="385" t="str">
        <f>G3176</f>
        <v>992,68</v>
      </c>
      <c r="C3177" s="130"/>
      <c r="D3177" s="130"/>
      <c r="E3177" s="130"/>
      <c r="F3177" s="130"/>
      <c r="G3177" s="130"/>
      <c r="H3177" s="130"/>
    </row>
    <row r="3178" spans="1:8" ht="14.1" customHeight="1">
      <c r="A3178" s="382" t="s">
        <v>2272</v>
      </c>
      <c r="B3178" s="381"/>
      <c r="C3178" s="130"/>
      <c r="D3178" s="130"/>
      <c r="E3178" s="130"/>
      <c r="F3178" s="130"/>
      <c r="G3178" s="130"/>
      <c r="H3178" s="130"/>
    </row>
    <row r="3179" spans="1:8" ht="14.1" customHeight="1">
      <c r="A3179" s="443" t="s">
        <v>2311</v>
      </c>
      <c r="B3179" s="381">
        <f>(B3177+B3178)*0.245</f>
        <v>243.20659999999998</v>
      </c>
      <c r="C3179" s="130"/>
      <c r="D3179" s="130"/>
      <c r="E3179" s="130"/>
      <c r="F3179" s="130"/>
      <c r="G3179" s="130"/>
      <c r="H3179" s="130"/>
    </row>
    <row r="3180" spans="1:8" ht="14.1" customHeight="1">
      <c r="A3180" s="361" t="s">
        <v>98</v>
      </c>
      <c r="B3180" s="386">
        <f>SUM(B3177:B3179)</f>
        <v>243.20659999999998</v>
      </c>
      <c r="C3180" s="130"/>
      <c r="D3180" s="130"/>
      <c r="E3180" s="130"/>
      <c r="F3180" s="130"/>
      <c r="G3180" s="130"/>
      <c r="H3180" s="130"/>
    </row>
    <row r="3181" spans="1:8">
      <c r="A3181" s="457"/>
      <c r="B3181" s="457"/>
      <c r="C3181" s="457"/>
      <c r="D3181" s="457"/>
      <c r="E3181" s="457"/>
      <c r="F3181" s="457"/>
      <c r="G3181" s="457"/>
      <c r="H3181" s="457"/>
    </row>
    <row r="3182" spans="1:8">
      <c r="A3182" s="130"/>
      <c r="B3182" s="130"/>
      <c r="C3182" s="130"/>
      <c r="D3182" s="130"/>
      <c r="E3182" s="130"/>
      <c r="F3182" s="130"/>
      <c r="G3182" s="130"/>
      <c r="H3182" s="130"/>
    </row>
    <row r="3183" spans="1:8">
      <c r="A3183" s="122" t="s">
        <v>1287</v>
      </c>
      <c r="B3183" s="130"/>
      <c r="C3183" s="130"/>
      <c r="D3183" s="130"/>
      <c r="E3183" s="130"/>
      <c r="F3183" s="130"/>
      <c r="G3183" s="130"/>
      <c r="H3183" s="130"/>
    </row>
    <row r="3184" spans="1:8">
      <c r="A3184" s="1202" t="s">
        <v>1028</v>
      </c>
      <c r="B3184" s="1203"/>
      <c r="C3184" s="1203"/>
      <c r="D3184" s="1203"/>
      <c r="E3184" s="1203"/>
      <c r="F3184" s="1203"/>
      <c r="G3184" s="1203"/>
      <c r="H3184" s="1203"/>
    </row>
    <row r="3185" spans="1:8" ht="32.25" customHeight="1">
      <c r="A3185" s="481" t="s">
        <v>1548</v>
      </c>
      <c r="B3185" s="481" t="s">
        <v>2350</v>
      </c>
      <c r="C3185" s="420" t="s">
        <v>1452</v>
      </c>
      <c r="D3185" s="481"/>
      <c r="F3185" s="130"/>
      <c r="G3185" s="130"/>
      <c r="H3185" s="130"/>
    </row>
    <row r="3186" spans="1:8" ht="20.399999999999999">
      <c r="A3186" s="309" t="s">
        <v>30</v>
      </c>
      <c r="B3186" s="354" t="s">
        <v>19</v>
      </c>
      <c r="C3186" s="293" t="s">
        <v>81</v>
      </c>
      <c r="D3186" s="294" t="s">
        <v>77</v>
      </c>
      <c r="E3186" s="294" t="s">
        <v>82</v>
      </c>
      <c r="F3186" s="295" t="s">
        <v>83</v>
      </c>
      <c r="G3186" s="355" t="s">
        <v>84</v>
      </c>
      <c r="H3186" s="130"/>
    </row>
    <row r="3187" spans="1:8" ht="27" customHeight="1">
      <c r="A3187" s="448" t="s">
        <v>1029</v>
      </c>
      <c r="B3187" s="453" t="s">
        <v>1030</v>
      </c>
      <c r="C3187" s="438" t="s">
        <v>87</v>
      </c>
      <c r="D3187" s="438" t="s">
        <v>5</v>
      </c>
      <c r="E3187" s="438" t="s">
        <v>101</v>
      </c>
      <c r="F3187" s="458" t="s">
        <v>1031</v>
      </c>
      <c r="G3187" s="439">
        <f t="shared" ref="G3187" si="128">TRUNC(E3187*F3187,2)</f>
        <v>1286.1600000000001</v>
      </c>
      <c r="H3187" s="130"/>
    </row>
    <row r="3188" spans="1:8" ht="14.1" customHeight="1">
      <c r="A3188" s="130"/>
      <c r="B3188" s="130"/>
      <c r="C3188" s="130"/>
      <c r="D3188" s="130"/>
      <c r="E3188" s="130"/>
      <c r="F3188" s="416" t="s">
        <v>90</v>
      </c>
      <c r="G3188" s="441" t="s">
        <v>91</v>
      </c>
      <c r="H3188" s="130"/>
    </row>
    <row r="3189" spans="1:8" ht="14.1" customHeight="1">
      <c r="A3189" s="130"/>
      <c r="B3189" s="130"/>
      <c r="C3189" s="130"/>
      <c r="D3189" s="130"/>
      <c r="E3189" s="130"/>
      <c r="F3189" s="416" t="s">
        <v>92</v>
      </c>
      <c r="G3189" s="441" t="s">
        <v>1032</v>
      </c>
      <c r="H3189" s="130"/>
    </row>
    <row r="3190" spans="1:8" ht="14.1" customHeight="1">
      <c r="A3190" s="413" t="s">
        <v>94</v>
      </c>
      <c r="B3190" s="130"/>
      <c r="C3190" s="130"/>
      <c r="D3190" s="130"/>
      <c r="E3190" s="130"/>
      <c r="F3190" s="416" t="s">
        <v>93</v>
      </c>
      <c r="G3190" s="441" t="s">
        <v>1032</v>
      </c>
      <c r="H3190" s="130"/>
    </row>
    <row r="3191" spans="1:8" ht="14.1" customHeight="1">
      <c r="A3191" s="361" t="s">
        <v>95</v>
      </c>
      <c r="B3191" s="385" t="str">
        <f>G3190</f>
        <v>1.286,16</v>
      </c>
      <c r="C3191" s="130"/>
      <c r="D3191" s="130"/>
      <c r="E3191" s="130"/>
      <c r="F3191" s="130"/>
      <c r="G3191" s="130"/>
      <c r="H3191" s="130"/>
    </row>
    <row r="3192" spans="1:8" ht="14.1" customHeight="1">
      <c r="A3192" s="382" t="s">
        <v>2272</v>
      </c>
      <c r="B3192" s="381"/>
      <c r="C3192" s="130"/>
      <c r="D3192" s="130"/>
      <c r="E3192" s="130"/>
      <c r="F3192" s="130"/>
      <c r="G3192" s="130"/>
      <c r="H3192" s="130"/>
    </row>
    <row r="3193" spans="1:8" ht="14.1" customHeight="1">
      <c r="A3193" s="443" t="s">
        <v>2311</v>
      </c>
      <c r="B3193" s="381">
        <v>149.21480000000003</v>
      </c>
      <c r="C3193" s="130"/>
      <c r="D3193" s="130"/>
      <c r="E3193" s="130"/>
      <c r="F3193" s="130"/>
      <c r="G3193" s="130"/>
      <c r="H3193" s="130"/>
    </row>
    <row r="3194" spans="1:8" ht="14.1" customHeight="1">
      <c r="A3194" s="361" t="s">
        <v>98</v>
      </c>
      <c r="B3194" s="386">
        <f>SUM(B3191:B3193)</f>
        <v>149.21480000000003</v>
      </c>
      <c r="C3194" s="130"/>
      <c r="D3194" s="130"/>
      <c r="E3194" s="130"/>
      <c r="F3194" s="130"/>
      <c r="G3194" s="130"/>
      <c r="H3194" s="130"/>
    </row>
    <row r="3195" spans="1:8">
      <c r="A3195" s="457"/>
      <c r="B3195" s="457"/>
      <c r="C3195" s="457"/>
      <c r="D3195" s="457"/>
      <c r="E3195" s="457"/>
      <c r="F3195" s="457"/>
      <c r="G3195" s="457"/>
      <c r="H3195" s="457"/>
    </row>
    <row r="3196" spans="1:8">
      <c r="A3196" s="130"/>
      <c r="B3196" s="130"/>
      <c r="C3196" s="130"/>
      <c r="D3196" s="130"/>
      <c r="E3196" s="130"/>
      <c r="F3196" s="130"/>
      <c r="G3196" s="130"/>
      <c r="H3196" s="130"/>
    </row>
    <row r="3197" spans="1:8">
      <c r="A3197" s="122" t="s">
        <v>1287</v>
      </c>
      <c r="B3197" s="130"/>
      <c r="C3197" s="130"/>
      <c r="D3197" s="130"/>
      <c r="E3197" s="130"/>
      <c r="F3197" s="130"/>
      <c r="G3197" s="130"/>
      <c r="H3197" s="130"/>
    </row>
    <row r="3198" spans="1:8">
      <c r="A3198" s="1202" t="s">
        <v>1510</v>
      </c>
      <c r="B3198" s="1203"/>
      <c r="C3198" s="1203"/>
      <c r="D3198" s="1203"/>
      <c r="E3198" s="1203"/>
      <c r="F3198" s="1203"/>
      <c r="G3198" s="1203"/>
      <c r="H3198" s="1203"/>
    </row>
    <row r="3199" spans="1:8" ht="23.25" customHeight="1">
      <c r="A3199" s="481" t="s">
        <v>1548</v>
      </c>
      <c r="B3199" s="481" t="s">
        <v>2351</v>
      </c>
      <c r="C3199" s="454" t="s">
        <v>1452</v>
      </c>
      <c r="E3199" s="130"/>
      <c r="F3199" s="130"/>
      <c r="G3199" s="130"/>
      <c r="H3199" s="130"/>
    </row>
    <row r="3200" spans="1:8" ht="20.399999999999999">
      <c r="A3200" s="309" t="s">
        <v>30</v>
      </c>
      <c r="B3200" s="354" t="s">
        <v>19</v>
      </c>
      <c r="C3200" s="293" t="s">
        <v>81</v>
      </c>
      <c r="D3200" s="294" t="s">
        <v>77</v>
      </c>
      <c r="E3200" s="294" t="s">
        <v>82</v>
      </c>
      <c r="F3200" s="295" t="s">
        <v>83</v>
      </c>
      <c r="G3200" s="355" t="s">
        <v>84</v>
      </c>
      <c r="H3200" s="130"/>
    </row>
    <row r="3201" spans="1:8" ht="20.399999999999999">
      <c r="A3201" s="459" t="s">
        <v>801</v>
      </c>
      <c r="B3201" s="460" t="s">
        <v>802</v>
      </c>
      <c r="C3201" s="438" t="s">
        <v>87</v>
      </c>
      <c r="D3201" s="438" t="s">
        <v>5</v>
      </c>
      <c r="E3201" s="415">
        <v>1</v>
      </c>
      <c r="F3201" s="438">
        <v>195.93</v>
      </c>
      <c r="G3201" s="414">
        <f t="shared" ref="G3201:G3205" si="129">TRUNC(E3201*F3201,2)</f>
        <v>195.93</v>
      </c>
      <c r="H3201" s="130"/>
    </row>
    <row r="3202" spans="1:8" ht="14.1" customHeight="1">
      <c r="A3202" s="459" t="s">
        <v>265</v>
      </c>
      <c r="B3202" s="460" t="s">
        <v>266</v>
      </c>
      <c r="C3202" s="438" t="s">
        <v>87</v>
      </c>
      <c r="D3202" s="438" t="s">
        <v>5</v>
      </c>
      <c r="E3202" s="438" t="s">
        <v>804</v>
      </c>
      <c r="F3202" s="438">
        <v>3.39</v>
      </c>
      <c r="G3202" s="414">
        <f t="shared" si="129"/>
        <v>0.2</v>
      </c>
      <c r="H3202" s="130"/>
    </row>
    <row r="3203" spans="1:8" ht="14.1" customHeight="1">
      <c r="A3203" s="1200" t="s">
        <v>270</v>
      </c>
      <c r="B3203" s="1119" t="s">
        <v>271</v>
      </c>
      <c r="C3203" s="438" t="s">
        <v>104</v>
      </c>
      <c r="D3203" s="1208" t="s">
        <v>383</v>
      </c>
      <c r="E3203" s="1121" t="s">
        <v>806</v>
      </c>
      <c r="F3203" s="415">
        <f>'COMP AUX'!G338</f>
        <v>15.5</v>
      </c>
      <c r="G3203" s="414">
        <f t="shared" si="129"/>
        <v>7.13</v>
      </c>
      <c r="H3203" s="130"/>
    </row>
    <row r="3204" spans="1:8">
      <c r="A3204" s="1160"/>
      <c r="B3204" s="1120"/>
      <c r="C3204" s="438" t="s">
        <v>87</v>
      </c>
      <c r="D3204" s="1209"/>
      <c r="E3204" s="1122"/>
      <c r="F3204" s="415">
        <f>'COMP AUX'!G339</f>
        <v>4.4000000000000004</v>
      </c>
      <c r="G3204" s="414">
        <f>TRUNC(E3203*F3204,2)</f>
        <v>2.02</v>
      </c>
      <c r="H3204" s="130"/>
    </row>
    <row r="3205" spans="1:8" ht="15" customHeight="1">
      <c r="A3205" s="1200" t="s">
        <v>109</v>
      </c>
      <c r="B3205" s="1119" t="s">
        <v>110</v>
      </c>
      <c r="C3205" s="438" t="s">
        <v>104</v>
      </c>
      <c r="D3205" s="1208" t="s">
        <v>383</v>
      </c>
      <c r="E3205" s="1121" t="s">
        <v>808</v>
      </c>
      <c r="F3205" s="415">
        <f>'COMP AUX'!G104</f>
        <v>11.18</v>
      </c>
      <c r="G3205" s="414">
        <f t="shared" si="129"/>
        <v>1.67</v>
      </c>
      <c r="H3205" s="130"/>
    </row>
    <row r="3206" spans="1:8" ht="14.1" customHeight="1">
      <c r="A3206" s="1160"/>
      <c r="B3206" s="1178"/>
      <c r="C3206" s="438" t="s">
        <v>87</v>
      </c>
      <c r="D3206" s="1209"/>
      <c r="E3206" s="1122"/>
      <c r="F3206" s="415">
        <f>'COMP AUX'!G105</f>
        <v>4.7300000000000004</v>
      </c>
      <c r="G3206" s="414">
        <f>TRUNC(E3205*F3206,2)</f>
        <v>0.7</v>
      </c>
      <c r="H3206" s="130"/>
    </row>
    <row r="3207" spans="1:8" ht="14.1" customHeight="1">
      <c r="A3207" s="130"/>
      <c r="B3207" s="130"/>
      <c r="C3207" s="130"/>
      <c r="D3207" s="130"/>
      <c r="E3207" s="130"/>
      <c r="F3207" s="416" t="s">
        <v>90</v>
      </c>
      <c r="G3207" s="414">
        <f>G3203+G3205</f>
        <v>8.8000000000000007</v>
      </c>
      <c r="H3207" s="130"/>
    </row>
    <row r="3208" spans="1:8" ht="14.1" customHeight="1">
      <c r="A3208" s="130"/>
      <c r="B3208" s="130"/>
      <c r="C3208" s="130"/>
      <c r="D3208" s="130"/>
      <c r="E3208" s="130"/>
      <c r="F3208" s="416" t="s">
        <v>92</v>
      </c>
      <c r="G3208" s="414">
        <f>G3201+G3202+G3204+G3206</f>
        <v>198.85</v>
      </c>
      <c r="H3208" s="130"/>
    </row>
    <row r="3209" spans="1:8" ht="14.1" customHeight="1">
      <c r="A3209" s="413" t="s">
        <v>94</v>
      </c>
      <c r="B3209" s="130"/>
      <c r="C3209" s="130"/>
      <c r="D3209" s="130"/>
      <c r="E3209" s="130"/>
      <c r="F3209" s="416" t="s">
        <v>93</v>
      </c>
      <c r="G3209" s="417">
        <f>SUM(G3207:G3208)</f>
        <v>207.65</v>
      </c>
      <c r="H3209" s="130"/>
    </row>
    <row r="3210" spans="1:8" ht="14.1" customHeight="1">
      <c r="A3210" s="361" t="s">
        <v>95</v>
      </c>
      <c r="B3210" s="385">
        <f>G3209</f>
        <v>207.65</v>
      </c>
      <c r="C3210" s="130"/>
      <c r="D3210" s="130"/>
      <c r="E3210" s="130"/>
      <c r="F3210" s="130"/>
      <c r="G3210" s="130"/>
      <c r="H3210" s="130"/>
    </row>
    <row r="3211" spans="1:8" ht="14.1" customHeight="1">
      <c r="A3211" s="382" t="s">
        <v>2272</v>
      </c>
      <c r="B3211" s="381"/>
      <c r="C3211" s="130"/>
      <c r="D3211" s="130"/>
      <c r="E3211" s="130"/>
      <c r="F3211" s="130"/>
      <c r="G3211" s="130"/>
      <c r="H3211" s="130"/>
    </row>
    <row r="3212" spans="1:8" ht="14.1" customHeight="1">
      <c r="A3212" s="443" t="s">
        <v>2311</v>
      </c>
      <c r="B3212" s="381">
        <v>149.21480000000003</v>
      </c>
      <c r="C3212" s="130"/>
      <c r="D3212" s="130"/>
      <c r="E3212" s="130"/>
      <c r="F3212" s="130"/>
      <c r="G3212" s="130"/>
      <c r="H3212" s="130"/>
    </row>
    <row r="3213" spans="1:8" ht="14.1" customHeight="1">
      <c r="A3213" s="361" t="s">
        <v>98</v>
      </c>
      <c r="B3213" s="386">
        <f>SUM(B3210:B3212)</f>
        <v>356.86480000000006</v>
      </c>
      <c r="C3213" s="130"/>
      <c r="D3213" s="130"/>
      <c r="E3213" s="130"/>
      <c r="F3213" s="130"/>
      <c r="G3213" s="130"/>
      <c r="H3213" s="130"/>
    </row>
    <row r="3214" spans="1:8" ht="11.25" customHeight="1">
      <c r="A3214" s="457"/>
      <c r="B3214" s="457"/>
      <c r="C3214" s="457"/>
      <c r="D3214" s="457"/>
      <c r="E3214" s="457"/>
      <c r="F3214" s="457"/>
      <c r="G3214" s="457"/>
      <c r="H3214" s="457"/>
    </row>
    <row r="3215" spans="1:8" ht="15" customHeight="1">
      <c r="A3215" s="130"/>
      <c r="B3215" s="130"/>
      <c r="C3215" s="130"/>
      <c r="D3215" s="130"/>
      <c r="E3215" s="130"/>
      <c r="F3215" s="130"/>
      <c r="G3215" s="130"/>
      <c r="H3215" s="130"/>
    </row>
    <row r="3216" spans="1:8" ht="15" customHeight="1">
      <c r="A3216" s="826" t="s">
        <v>2710</v>
      </c>
      <c r="B3216" s="130"/>
      <c r="C3216" s="130"/>
      <c r="D3216" s="130"/>
      <c r="E3216" s="130"/>
      <c r="F3216" s="130"/>
      <c r="G3216" s="130"/>
      <c r="H3216" s="130"/>
    </row>
    <row r="3217" spans="1:8">
      <c r="A3217" s="1202" t="s">
        <v>282</v>
      </c>
      <c r="B3217" s="1203"/>
      <c r="C3217" s="1203"/>
      <c r="D3217" s="1203"/>
      <c r="E3217" s="1203"/>
      <c r="F3217" s="1203"/>
      <c r="G3217" s="1203"/>
      <c r="H3217" s="1203"/>
    </row>
    <row r="3218" spans="1:8" ht="17.25" customHeight="1">
      <c r="A3218" s="420" t="s">
        <v>1549</v>
      </c>
      <c r="B3218" s="477" t="s">
        <v>2352</v>
      </c>
      <c r="C3218" s="420" t="s">
        <v>1452</v>
      </c>
      <c r="D3218" s="130"/>
      <c r="E3218" s="130"/>
      <c r="F3218" s="130"/>
      <c r="G3218" s="130"/>
      <c r="H3218" s="130"/>
    </row>
    <row r="3219" spans="1:8" ht="20.399999999999999">
      <c r="A3219" s="309" t="s">
        <v>30</v>
      </c>
      <c r="B3219" s="354" t="s">
        <v>19</v>
      </c>
      <c r="C3219" s="293" t="s">
        <v>81</v>
      </c>
      <c r="D3219" s="294" t="s">
        <v>77</v>
      </c>
      <c r="E3219" s="294" t="s">
        <v>82</v>
      </c>
      <c r="F3219" s="295" t="s">
        <v>83</v>
      </c>
      <c r="G3219" s="355" t="s">
        <v>84</v>
      </c>
      <c r="H3219" s="462"/>
    </row>
    <row r="3220" spans="1:8" ht="21.75" customHeight="1">
      <c r="A3220" s="917" t="s">
        <v>2945</v>
      </c>
      <c r="B3220" s="906" t="s">
        <v>271</v>
      </c>
      <c r="C3220" s="293" t="s">
        <v>104</v>
      </c>
      <c r="D3220" s="921" t="s">
        <v>383</v>
      </c>
      <c r="E3220" s="941">
        <v>3.5</v>
      </c>
      <c r="F3220" s="349">
        <v>7.19</v>
      </c>
      <c r="G3220" s="355">
        <f t="shared" ref="G3220" si="130">TRUNC(E3220*F3220,2)</f>
        <v>25.16</v>
      </c>
      <c r="H3220" s="462"/>
    </row>
    <row r="3221" spans="1:8" ht="24.75" customHeight="1">
      <c r="A3221" s="934" t="s">
        <v>2946</v>
      </c>
      <c r="B3221" s="928" t="s">
        <v>307</v>
      </c>
      <c r="C3221" s="438" t="s">
        <v>104</v>
      </c>
      <c r="D3221" s="922" t="s">
        <v>383</v>
      </c>
      <c r="E3221" s="940">
        <v>3.5</v>
      </c>
      <c r="F3221" s="415">
        <v>5.6</v>
      </c>
      <c r="G3221" s="441">
        <f>TRUNC(E3221*F3221,2)</f>
        <v>19.600000000000001</v>
      </c>
      <c r="H3221" s="130"/>
    </row>
    <row r="3222" spans="1:8" ht="24" customHeight="1">
      <c r="A3222" s="459" t="s">
        <v>3020</v>
      </c>
      <c r="B3222" s="453" t="s">
        <v>3021</v>
      </c>
      <c r="C3222" s="438" t="s">
        <v>87</v>
      </c>
      <c r="D3222" s="438" t="s">
        <v>5</v>
      </c>
      <c r="E3222" s="415">
        <v>1</v>
      </c>
      <c r="F3222" s="438">
        <v>23.7</v>
      </c>
      <c r="G3222" s="441">
        <f t="shared" ref="G3222:G3225" si="131">TRUNC(E3222*F3222,2)</f>
        <v>23.7</v>
      </c>
      <c r="H3222" s="130"/>
    </row>
    <row r="3223" spans="1:8" ht="21.75" customHeight="1">
      <c r="A3223" s="459" t="s">
        <v>3022</v>
      </c>
      <c r="B3223" s="453" t="s">
        <v>3023</v>
      </c>
      <c r="C3223" s="438" t="s">
        <v>87</v>
      </c>
      <c r="D3223" s="438" t="s">
        <v>5</v>
      </c>
      <c r="E3223" s="415">
        <v>2</v>
      </c>
      <c r="F3223" s="438">
        <v>8.7100000000000009</v>
      </c>
      <c r="G3223" s="441">
        <f t="shared" si="131"/>
        <v>17.420000000000002</v>
      </c>
      <c r="H3223" s="130"/>
    </row>
    <row r="3224" spans="1:8" ht="21.75" customHeight="1">
      <c r="A3224" s="459" t="s">
        <v>3024</v>
      </c>
      <c r="B3224" s="453" t="s">
        <v>3025</v>
      </c>
      <c r="C3224" s="438" t="s">
        <v>87</v>
      </c>
      <c r="D3224" s="438" t="s">
        <v>4</v>
      </c>
      <c r="E3224" s="415">
        <v>6</v>
      </c>
      <c r="F3224" s="438">
        <v>11.41</v>
      </c>
      <c r="G3224" s="441">
        <f t="shared" si="131"/>
        <v>68.459999999999994</v>
      </c>
      <c r="H3224" s="130"/>
    </row>
    <row r="3225" spans="1:8" ht="14.1" customHeight="1">
      <c r="A3225" s="459" t="s">
        <v>3026</v>
      </c>
      <c r="B3225" s="463" t="s">
        <v>3027</v>
      </c>
      <c r="C3225" s="438" t="s">
        <v>87</v>
      </c>
      <c r="D3225" s="438" t="s">
        <v>5</v>
      </c>
      <c r="E3225" s="415">
        <v>1</v>
      </c>
      <c r="F3225" s="438">
        <v>12.77</v>
      </c>
      <c r="G3225" s="441">
        <f t="shared" si="131"/>
        <v>12.77</v>
      </c>
      <c r="H3225" s="130"/>
    </row>
    <row r="3226" spans="1:8" ht="14.1" customHeight="1">
      <c r="A3226" s="130"/>
      <c r="B3226" s="130"/>
      <c r="C3226" s="130"/>
      <c r="D3226" s="130"/>
      <c r="E3226" s="130"/>
      <c r="F3226" s="416" t="s">
        <v>90</v>
      </c>
      <c r="G3226" s="441">
        <f>G3220+G3221</f>
        <v>44.760000000000005</v>
      </c>
      <c r="H3226" s="130"/>
    </row>
    <row r="3227" spans="1:8" ht="14.1" customHeight="1">
      <c r="A3227" s="130"/>
      <c r="B3227" s="130"/>
      <c r="C3227" s="130"/>
      <c r="D3227" s="130"/>
      <c r="E3227" s="130"/>
      <c r="F3227" s="416" t="s">
        <v>92</v>
      </c>
      <c r="G3227" s="414">
        <f>G3222+G3223+G3224+G3225</f>
        <v>122.35</v>
      </c>
      <c r="H3227" s="130"/>
    </row>
    <row r="3228" spans="1:8" ht="14.1" customHeight="1">
      <c r="A3228" s="413" t="s">
        <v>94</v>
      </c>
      <c r="B3228" s="130"/>
      <c r="C3228" s="130"/>
      <c r="D3228" s="130"/>
      <c r="E3228" s="130"/>
      <c r="F3228" s="416" t="s">
        <v>93</v>
      </c>
      <c r="G3228" s="1002">
        <f>SUM(G3226:G3227)</f>
        <v>167.11</v>
      </c>
      <c r="H3228" s="130"/>
    </row>
    <row r="3229" spans="1:8" ht="14.1" customHeight="1">
      <c r="A3229" s="464" t="s">
        <v>95</v>
      </c>
      <c r="B3229" s="385">
        <f>G3228</f>
        <v>167.11</v>
      </c>
      <c r="C3229" s="130"/>
      <c r="D3229" s="130"/>
      <c r="E3229" s="130"/>
      <c r="F3229" s="126"/>
      <c r="G3229" s="126"/>
      <c r="H3229" s="130"/>
    </row>
    <row r="3230" spans="1:8" ht="14.1" customHeight="1">
      <c r="A3230" s="382" t="s">
        <v>2272</v>
      </c>
      <c r="B3230" s="381"/>
      <c r="C3230" s="130"/>
      <c r="D3230" s="130"/>
      <c r="E3230" s="130"/>
      <c r="F3230" s="126"/>
      <c r="G3230" s="126"/>
      <c r="H3230" s="130"/>
    </row>
    <row r="3231" spans="1:8" ht="14.1" customHeight="1">
      <c r="A3231" s="443" t="s">
        <v>2311</v>
      </c>
      <c r="B3231" s="381">
        <f>(B3229+B3230)*0.245</f>
        <v>40.941950000000006</v>
      </c>
      <c r="C3231" s="130"/>
      <c r="D3231" s="130"/>
      <c r="E3231" s="130"/>
      <c r="F3231" s="126"/>
      <c r="G3231" s="126"/>
      <c r="H3231" s="130"/>
    </row>
    <row r="3232" spans="1:8" ht="14.1" customHeight="1">
      <c r="A3232" s="464" t="s">
        <v>98</v>
      </c>
      <c r="B3232" s="386">
        <f>SUM(B3229:B3231)</f>
        <v>208.05195000000003</v>
      </c>
      <c r="C3232" s="130"/>
      <c r="D3232" s="130"/>
      <c r="E3232" s="130"/>
      <c r="F3232" s="126"/>
      <c r="G3232" s="126"/>
      <c r="H3232" s="419"/>
    </row>
    <row r="3233" spans="1:8">
      <c r="A3233" s="362"/>
      <c r="B3233" s="363"/>
      <c r="C3233" s="364"/>
      <c r="D3233" s="362"/>
      <c r="E3233" s="363"/>
      <c r="F3233" s="363"/>
      <c r="G3233" s="363"/>
      <c r="H3233" s="362"/>
    </row>
    <row r="3235" spans="1:8">
      <c r="A3235" s="122" t="s">
        <v>2710</v>
      </c>
    </row>
    <row r="3236" spans="1:8">
      <c r="A3236" s="1202" t="s">
        <v>1512</v>
      </c>
      <c r="B3236" s="1203"/>
      <c r="C3236" s="1203"/>
      <c r="D3236" s="1203"/>
      <c r="E3236" s="1203"/>
      <c r="F3236" s="1203"/>
      <c r="G3236" s="1203"/>
      <c r="H3236" s="1203"/>
    </row>
    <row r="3237" spans="1:8" ht="18.75" customHeight="1">
      <c r="A3237" s="420" t="s">
        <v>1548</v>
      </c>
      <c r="B3237" s="420" t="s">
        <v>288</v>
      </c>
      <c r="C3237" s="638" t="s">
        <v>1452</v>
      </c>
      <c r="D3237" s="456"/>
      <c r="E3237" s="456"/>
      <c r="F3237" s="456"/>
      <c r="G3237" s="456"/>
      <c r="H3237" s="456"/>
    </row>
    <row r="3238" spans="1:8" ht="20.399999999999999">
      <c r="A3238" s="309" t="s">
        <v>30</v>
      </c>
      <c r="B3238" s="354" t="s">
        <v>19</v>
      </c>
      <c r="C3238" s="293" t="s">
        <v>81</v>
      </c>
      <c r="D3238" s="294" t="s">
        <v>77</v>
      </c>
      <c r="E3238" s="294" t="s">
        <v>82</v>
      </c>
      <c r="F3238" s="295" t="s">
        <v>83</v>
      </c>
      <c r="G3238" s="355" t="s">
        <v>84</v>
      </c>
    </row>
    <row r="3239" spans="1:8" ht="14.1" customHeight="1">
      <c r="A3239" s="917" t="s">
        <v>2945</v>
      </c>
      <c r="B3239" s="906" t="s">
        <v>3029</v>
      </c>
      <c r="C3239" s="293" t="s">
        <v>104</v>
      </c>
      <c r="D3239" s="921" t="s">
        <v>383</v>
      </c>
      <c r="E3239" s="941">
        <v>3</v>
      </c>
      <c r="F3239" s="349">
        <v>7.19</v>
      </c>
      <c r="G3239" s="355">
        <f t="shared" ref="G3239" si="132">TRUNC(E3239*F3239,2)</f>
        <v>21.57</v>
      </c>
      <c r="H3239" s="130"/>
    </row>
    <row r="3240" spans="1:8" ht="14.1" customHeight="1">
      <c r="A3240" s="934" t="s">
        <v>2946</v>
      </c>
      <c r="B3240" s="928" t="s">
        <v>3028</v>
      </c>
      <c r="C3240" s="438" t="s">
        <v>104</v>
      </c>
      <c r="D3240" s="922" t="s">
        <v>383</v>
      </c>
      <c r="E3240" s="940">
        <v>3</v>
      </c>
      <c r="F3240" s="415">
        <v>5.6</v>
      </c>
      <c r="G3240" s="441">
        <f>TRUNC(E3240*F3240,2)</f>
        <v>16.8</v>
      </c>
      <c r="H3240" s="130"/>
    </row>
    <row r="3241" spans="1:8" ht="24.75" customHeight="1">
      <c r="A3241" s="459" t="s">
        <v>3030</v>
      </c>
      <c r="B3241" s="453" t="s">
        <v>3031</v>
      </c>
      <c r="C3241" s="438" t="s">
        <v>87</v>
      </c>
      <c r="D3241" s="438" t="s">
        <v>5</v>
      </c>
      <c r="E3241" s="415">
        <v>1</v>
      </c>
      <c r="F3241" s="438">
        <v>15.45</v>
      </c>
      <c r="G3241" s="441">
        <f t="shared" ref="G3241:G3244" si="133">TRUNC(E3241*F3241,2)</f>
        <v>15.45</v>
      </c>
      <c r="H3241" s="130"/>
    </row>
    <row r="3242" spans="1:8" ht="22.5" customHeight="1">
      <c r="A3242" s="459" t="s">
        <v>3032</v>
      </c>
      <c r="B3242" s="453" t="s">
        <v>3033</v>
      </c>
      <c r="C3242" s="438" t="s">
        <v>87</v>
      </c>
      <c r="D3242" s="438" t="s">
        <v>5</v>
      </c>
      <c r="E3242" s="415">
        <v>2</v>
      </c>
      <c r="F3242" s="438">
        <v>2.46</v>
      </c>
      <c r="G3242" s="441">
        <f t="shared" si="133"/>
        <v>4.92</v>
      </c>
      <c r="H3242" s="130"/>
    </row>
    <row r="3243" spans="1:8" ht="21" customHeight="1">
      <c r="A3243" s="459" t="s">
        <v>3034</v>
      </c>
      <c r="B3243" s="453" t="s">
        <v>3035</v>
      </c>
      <c r="C3243" s="438" t="s">
        <v>87</v>
      </c>
      <c r="D3243" s="438" t="s">
        <v>4</v>
      </c>
      <c r="E3243" s="415">
        <v>6</v>
      </c>
      <c r="F3243" s="438">
        <v>7.4</v>
      </c>
      <c r="G3243" s="441">
        <f t="shared" si="133"/>
        <v>44.4</v>
      </c>
      <c r="H3243" s="130"/>
    </row>
    <row r="3244" spans="1:8" ht="14.1" customHeight="1">
      <c r="A3244" s="459" t="s">
        <v>3036</v>
      </c>
      <c r="B3244" s="463" t="s">
        <v>3037</v>
      </c>
      <c r="C3244" s="438" t="s">
        <v>87</v>
      </c>
      <c r="D3244" s="438" t="s">
        <v>5</v>
      </c>
      <c r="E3244" s="415">
        <v>1</v>
      </c>
      <c r="F3244" s="438">
        <v>5.55</v>
      </c>
      <c r="G3244" s="441">
        <f t="shared" si="133"/>
        <v>5.55</v>
      </c>
      <c r="H3244" s="130"/>
    </row>
    <row r="3245" spans="1:8" ht="14.1" customHeight="1">
      <c r="A3245" s="482"/>
      <c r="B3245" s="456"/>
      <c r="C3245" s="622"/>
      <c r="D3245" s="622"/>
      <c r="E3245" s="622"/>
      <c r="F3245" s="416" t="s">
        <v>90</v>
      </c>
      <c r="G3245" s="441">
        <f>G3239+G3240</f>
        <v>38.370000000000005</v>
      </c>
      <c r="H3245" s="130"/>
    </row>
    <row r="3246" spans="1:8" ht="14.1" customHeight="1">
      <c r="A3246" s="482"/>
      <c r="B3246" s="456"/>
      <c r="C3246" s="622"/>
      <c r="D3246" s="622"/>
      <c r="E3246" s="622"/>
      <c r="F3246" s="416" t="s">
        <v>92</v>
      </c>
      <c r="G3246" s="414">
        <f>G3241+G3242+G3243+G3244</f>
        <v>70.319999999999993</v>
      </c>
      <c r="H3246" s="130"/>
    </row>
    <row r="3247" spans="1:8" ht="14.1" customHeight="1">
      <c r="A3247" s="413" t="s">
        <v>94</v>
      </c>
      <c r="B3247" s="130"/>
      <c r="C3247" s="456"/>
      <c r="D3247" s="456"/>
      <c r="E3247" s="456"/>
      <c r="F3247" s="416" t="s">
        <v>93</v>
      </c>
      <c r="G3247" s="829">
        <f>SUM(G3245:G3246)</f>
        <v>108.69</v>
      </c>
      <c r="H3247" s="130"/>
    </row>
    <row r="3248" spans="1:8" ht="14.1" customHeight="1">
      <c r="A3248" s="464" t="s">
        <v>95</v>
      </c>
      <c r="B3248" s="385">
        <f>G3247</f>
        <v>108.69</v>
      </c>
      <c r="C3248" s="130"/>
      <c r="D3248" s="130"/>
      <c r="E3248" s="130"/>
      <c r="F3248" s="126"/>
      <c r="G3248" s="126"/>
      <c r="H3248" s="130"/>
    </row>
    <row r="3249" spans="1:8" ht="14.1" customHeight="1">
      <c r="A3249" s="382" t="s">
        <v>2272</v>
      </c>
      <c r="B3249" s="381"/>
      <c r="C3249" s="130"/>
      <c r="D3249" s="130"/>
      <c r="E3249" s="130"/>
      <c r="F3249" s="126"/>
      <c r="G3249" s="126"/>
      <c r="H3249" s="130"/>
    </row>
    <row r="3250" spans="1:8" ht="14.1" customHeight="1">
      <c r="A3250" s="443" t="s">
        <v>2311</v>
      </c>
      <c r="B3250" s="381">
        <f>(B3248+B3249)*0.245</f>
        <v>26.629049999999999</v>
      </c>
      <c r="C3250" s="130"/>
      <c r="D3250" s="130"/>
      <c r="E3250" s="130"/>
      <c r="F3250" s="126"/>
      <c r="G3250" s="126"/>
      <c r="H3250" s="130"/>
    </row>
    <row r="3251" spans="1:8" ht="14.1" customHeight="1">
      <c r="A3251" s="464" t="s">
        <v>98</v>
      </c>
      <c r="B3251" s="386">
        <f>SUM(B3248:B3250)</f>
        <v>135.31905</v>
      </c>
      <c r="C3251" s="130"/>
      <c r="D3251" s="130"/>
      <c r="E3251" s="130"/>
      <c r="F3251" s="126"/>
      <c r="G3251" s="126"/>
      <c r="H3251" s="419"/>
    </row>
    <row r="3252" spans="1:8" ht="10.5" customHeight="1">
      <c r="A3252" s="362"/>
      <c r="B3252" s="363"/>
      <c r="C3252" s="364"/>
      <c r="D3252" s="362"/>
      <c r="E3252" s="363"/>
      <c r="F3252" s="363"/>
      <c r="G3252" s="363"/>
      <c r="H3252" s="362"/>
    </row>
    <row r="3253" spans="1:8">
      <c r="B3253" s="122"/>
    </row>
    <row r="3254" spans="1:8">
      <c r="A3254" s="122" t="s">
        <v>1287</v>
      </c>
    </row>
    <row r="3255" spans="1:8">
      <c r="A3255" s="1202" t="s">
        <v>2248</v>
      </c>
      <c r="B3255" s="1203"/>
      <c r="C3255" s="1203"/>
      <c r="D3255" s="1203"/>
      <c r="E3255" s="1203"/>
      <c r="F3255" s="1203"/>
      <c r="G3255" s="1203"/>
      <c r="H3255" s="1203"/>
    </row>
    <row r="3256" spans="1:8" ht="38.25" customHeight="1">
      <c r="A3256" s="465" t="s">
        <v>1549</v>
      </c>
      <c r="B3256" s="1161" t="s">
        <v>2249</v>
      </c>
      <c r="C3256" s="1161"/>
      <c r="D3256" s="610" t="s">
        <v>1452</v>
      </c>
      <c r="E3256" s="455"/>
      <c r="F3256" s="455"/>
      <c r="G3256" s="455"/>
      <c r="H3256" s="455"/>
    </row>
    <row r="3257" spans="1:8" ht="20.399999999999999">
      <c r="A3257" s="945" t="s">
        <v>30</v>
      </c>
      <c r="B3257" s="354" t="s">
        <v>19</v>
      </c>
      <c r="C3257" s="293" t="s">
        <v>81</v>
      </c>
      <c r="D3257" s="908" t="s">
        <v>77</v>
      </c>
      <c r="E3257" s="908" t="s">
        <v>82</v>
      </c>
      <c r="F3257" s="909" t="s">
        <v>83</v>
      </c>
      <c r="G3257" s="355" t="s">
        <v>84</v>
      </c>
    </row>
    <row r="3258" spans="1:8" ht="20.399999999999999">
      <c r="A3258" s="448" t="s">
        <v>2250</v>
      </c>
      <c r="B3258" s="453" t="s">
        <v>2251</v>
      </c>
      <c r="C3258" s="943" t="s">
        <v>87</v>
      </c>
      <c r="D3258" s="943" t="s">
        <v>5</v>
      </c>
      <c r="E3258" s="458">
        <v>1</v>
      </c>
      <c r="F3258" s="1012">
        <v>11.59</v>
      </c>
      <c r="G3258" s="441">
        <f>E3258*F3258</f>
        <v>11.59</v>
      </c>
      <c r="H3258" s="937"/>
    </row>
    <row r="3259" spans="1:8" ht="14.1" customHeight="1">
      <c r="A3259" s="448" t="s">
        <v>293</v>
      </c>
      <c r="B3259" s="453" t="s">
        <v>294</v>
      </c>
      <c r="C3259" s="943" t="s">
        <v>87</v>
      </c>
      <c r="D3259" s="943" t="s">
        <v>5</v>
      </c>
      <c r="E3259" s="943">
        <v>1.4800000000000001E-2</v>
      </c>
      <c r="F3259" s="1012">
        <v>82.47</v>
      </c>
      <c r="G3259" s="441">
        <f>E3259*F3259</f>
        <v>1.220556</v>
      </c>
      <c r="H3259" s="937"/>
    </row>
    <row r="3260" spans="1:8" ht="14.1" customHeight="1">
      <c r="A3260" s="448">
        <v>296</v>
      </c>
      <c r="B3260" s="453" t="s">
        <v>3137</v>
      </c>
      <c r="C3260" s="943" t="s">
        <v>87</v>
      </c>
      <c r="D3260" s="943" t="s">
        <v>5</v>
      </c>
      <c r="E3260" s="943">
        <v>1</v>
      </c>
      <c r="F3260" s="1012">
        <v>1.86</v>
      </c>
      <c r="G3260" s="441">
        <f t="shared" ref="G3260:G3263" si="134">E3260*F3260</f>
        <v>1.86</v>
      </c>
      <c r="H3260" s="937"/>
    </row>
    <row r="3261" spans="1:8" ht="14.1" customHeight="1">
      <c r="A3261" s="448" t="s">
        <v>298</v>
      </c>
      <c r="B3261" s="453" t="s">
        <v>299</v>
      </c>
      <c r="C3261" s="943" t="s">
        <v>87</v>
      </c>
      <c r="D3261" s="943" t="s">
        <v>5</v>
      </c>
      <c r="E3261" s="943">
        <v>2.2499999999999999E-2</v>
      </c>
      <c r="F3261" s="1012">
        <v>71.62</v>
      </c>
      <c r="G3261" s="441">
        <f>E3261*F3261</f>
        <v>1.61145</v>
      </c>
      <c r="H3261" s="937"/>
    </row>
    <row r="3262" spans="1:8" ht="24" customHeight="1">
      <c r="A3262" s="448">
        <v>20078</v>
      </c>
      <c r="B3262" s="453" t="s">
        <v>3041</v>
      </c>
      <c r="C3262" s="943" t="s">
        <v>87</v>
      </c>
      <c r="D3262" s="943" t="s">
        <v>5</v>
      </c>
      <c r="E3262" s="943">
        <v>0.02</v>
      </c>
      <c r="F3262" s="1012">
        <v>30.2</v>
      </c>
      <c r="G3262" s="441">
        <f>E3262*F3262</f>
        <v>0.60399999999999998</v>
      </c>
      <c r="H3262" s="937"/>
    </row>
    <row r="3263" spans="1:8" ht="14.1" customHeight="1">
      <c r="A3263" s="448" t="s">
        <v>302</v>
      </c>
      <c r="B3263" s="453" t="s">
        <v>303</v>
      </c>
      <c r="C3263" s="943" t="s">
        <v>87</v>
      </c>
      <c r="D3263" s="943" t="s">
        <v>5</v>
      </c>
      <c r="E3263" s="943" t="s">
        <v>304</v>
      </c>
      <c r="F3263" s="1012">
        <v>1.64</v>
      </c>
      <c r="G3263" s="441">
        <f t="shared" si="134"/>
        <v>2.7880000000000002E-2</v>
      </c>
      <c r="H3263" s="937"/>
    </row>
    <row r="3264" spans="1:8" ht="14.1" customHeight="1">
      <c r="A3264" s="1200">
        <v>88248</v>
      </c>
      <c r="B3264" s="1119" t="s">
        <v>307</v>
      </c>
      <c r="C3264" s="943" t="s">
        <v>104</v>
      </c>
      <c r="D3264" s="1121" t="s">
        <v>383</v>
      </c>
      <c r="E3264" s="1121">
        <v>0.25</v>
      </c>
      <c r="F3264" s="415"/>
      <c r="G3264" s="441"/>
      <c r="H3264" s="937"/>
    </row>
    <row r="3265" spans="1:8" ht="14.1" customHeight="1">
      <c r="A3265" s="1160"/>
      <c r="B3265" s="1120"/>
      <c r="C3265" s="943" t="s">
        <v>87</v>
      </c>
      <c r="D3265" s="1122"/>
      <c r="E3265" s="1122"/>
      <c r="F3265" s="415">
        <v>15.38</v>
      </c>
      <c r="G3265" s="441">
        <f>E3264*F3265</f>
        <v>3.8450000000000002</v>
      </c>
      <c r="H3265" s="937"/>
    </row>
    <row r="3266" spans="1:8" ht="14.1" customHeight="1">
      <c r="A3266" s="1200">
        <v>88267</v>
      </c>
      <c r="B3266" s="1119" t="s">
        <v>271</v>
      </c>
      <c r="C3266" s="943" t="s">
        <v>104</v>
      </c>
      <c r="D3266" s="1121" t="s">
        <v>383</v>
      </c>
      <c r="E3266" s="1121">
        <v>0.25</v>
      </c>
      <c r="F3266" s="415"/>
      <c r="G3266" s="441"/>
      <c r="H3266" s="937"/>
    </row>
    <row r="3267" spans="1:8" ht="14.1" customHeight="1">
      <c r="A3267" s="1160"/>
      <c r="B3267" s="1178"/>
      <c r="C3267" s="943" t="s">
        <v>87</v>
      </c>
      <c r="D3267" s="1122"/>
      <c r="E3267" s="1122"/>
      <c r="F3267" s="415">
        <v>19.899999999999999</v>
      </c>
      <c r="G3267" s="441">
        <f>E3266*F3267</f>
        <v>4.9749999999999996</v>
      </c>
      <c r="H3267" s="937"/>
    </row>
    <row r="3268" spans="1:8" ht="14.1" customHeight="1">
      <c r="A3268" s="939"/>
      <c r="B3268" s="939"/>
      <c r="C3268" s="939"/>
      <c r="D3268" s="939"/>
      <c r="E3268" s="939"/>
      <c r="F3268" s="416" t="s">
        <v>90</v>
      </c>
      <c r="G3268" s="441"/>
      <c r="H3268" s="937"/>
    </row>
    <row r="3269" spans="1:8" ht="14.1" customHeight="1">
      <c r="A3269" s="939"/>
      <c r="B3269" s="939"/>
      <c r="C3269" s="939"/>
      <c r="D3269" s="939"/>
      <c r="E3269" s="939"/>
      <c r="F3269" s="416" t="s">
        <v>92</v>
      </c>
      <c r="G3269" s="414">
        <f>SUM(G3258:G3267)</f>
        <v>25.733885999999998</v>
      </c>
      <c r="H3269" s="937"/>
    </row>
    <row r="3270" spans="1:8" ht="14.1" customHeight="1">
      <c r="A3270" s="413" t="s">
        <v>94</v>
      </c>
      <c r="B3270" s="937"/>
      <c r="C3270" s="939"/>
      <c r="D3270" s="939"/>
      <c r="E3270" s="939"/>
      <c r="F3270" s="416" t="s">
        <v>93</v>
      </c>
      <c r="G3270" s="829">
        <f>SUM(G3268:G3269)</f>
        <v>25.733885999999998</v>
      </c>
      <c r="H3270" s="937"/>
    </row>
    <row r="3271" spans="1:8" ht="14.1" customHeight="1">
      <c r="A3271" s="464" t="s">
        <v>95</v>
      </c>
      <c r="B3271" s="385">
        <f>G3270</f>
        <v>25.733885999999998</v>
      </c>
      <c r="C3271" s="937"/>
      <c r="D3271" s="937"/>
      <c r="E3271" s="937"/>
      <c r="F3271" s="126"/>
      <c r="G3271" s="126"/>
      <c r="H3271" s="937"/>
    </row>
    <row r="3272" spans="1:8" ht="14.1" customHeight="1">
      <c r="A3272" s="382" t="s">
        <v>2272</v>
      </c>
      <c r="B3272" s="381"/>
      <c r="C3272" s="937"/>
      <c r="D3272" s="937"/>
      <c r="E3272" s="937"/>
      <c r="F3272" s="126"/>
      <c r="G3272" s="126"/>
      <c r="H3272" s="937"/>
    </row>
    <row r="3273" spans="1:8" ht="14.1" customHeight="1">
      <c r="A3273" s="443" t="s">
        <v>2311</v>
      </c>
      <c r="B3273" s="381">
        <f>(B3271+B3272)*0.245</f>
        <v>6.3048020699999991</v>
      </c>
      <c r="C3273" s="937"/>
      <c r="D3273" s="937"/>
      <c r="E3273" s="937"/>
      <c r="F3273" s="126"/>
      <c r="G3273" s="126"/>
      <c r="H3273" s="937"/>
    </row>
    <row r="3274" spans="1:8" ht="14.1" customHeight="1">
      <c r="A3274" s="464" t="s">
        <v>98</v>
      </c>
      <c r="B3274" s="386">
        <f>SUM(B3271:B3273)</f>
        <v>32.038688069999999</v>
      </c>
      <c r="C3274" s="937"/>
      <c r="D3274" s="937"/>
      <c r="E3274" s="937"/>
      <c r="F3274" s="126"/>
      <c r="G3274" s="126"/>
      <c r="H3274" s="937"/>
    </row>
    <row r="3275" spans="1:8">
      <c r="A3275" s="362"/>
      <c r="B3275" s="363"/>
      <c r="C3275" s="364"/>
      <c r="D3275" s="362"/>
      <c r="E3275" s="363"/>
      <c r="F3275" s="363"/>
      <c r="G3275" s="363"/>
      <c r="H3275" s="362"/>
    </row>
    <row r="3276" spans="1:8">
      <c r="B3276" s="122"/>
    </row>
    <row r="3277" spans="1:8">
      <c r="A3277" s="122" t="s">
        <v>1287</v>
      </c>
    </row>
    <row r="3278" spans="1:8">
      <c r="A3278" s="1202" t="s">
        <v>3038</v>
      </c>
      <c r="B3278" s="1203"/>
      <c r="C3278" s="1203"/>
      <c r="D3278" s="1203"/>
      <c r="E3278" s="1203"/>
      <c r="F3278" s="1203"/>
      <c r="G3278" s="1203"/>
      <c r="H3278" s="1203"/>
    </row>
    <row r="3279" spans="1:8" ht="38.25" customHeight="1">
      <c r="A3279" s="465" t="s">
        <v>1549</v>
      </c>
      <c r="B3279" s="1161" t="s">
        <v>3042</v>
      </c>
      <c r="C3279" s="1161"/>
      <c r="D3279" s="610" t="s">
        <v>1452</v>
      </c>
      <c r="E3279" s="455"/>
      <c r="F3279" s="455"/>
      <c r="G3279" s="455"/>
      <c r="H3279" s="455"/>
    </row>
    <row r="3280" spans="1:8" ht="20.399999999999999">
      <c r="A3280" s="309" t="s">
        <v>30</v>
      </c>
      <c r="B3280" s="354" t="s">
        <v>19</v>
      </c>
      <c r="C3280" s="293" t="s">
        <v>81</v>
      </c>
      <c r="D3280" s="294" t="s">
        <v>77</v>
      </c>
      <c r="E3280" s="294" t="s">
        <v>82</v>
      </c>
      <c r="F3280" s="295" t="s">
        <v>83</v>
      </c>
      <c r="G3280" s="355" t="s">
        <v>84</v>
      </c>
    </row>
    <row r="3281" spans="1:8" ht="20.399999999999999">
      <c r="A3281" s="942">
        <v>11714</v>
      </c>
      <c r="B3281" s="1003" t="s">
        <v>3040</v>
      </c>
      <c r="C3281" s="438" t="s">
        <v>87</v>
      </c>
      <c r="D3281" s="438" t="s">
        <v>5</v>
      </c>
      <c r="E3281" s="458">
        <v>1</v>
      </c>
      <c r="F3281" s="438">
        <v>36.49</v>
      </c>
      <c r="G3281" s="441">
        <f t="shared" ref="G3281:G3285" si="135">TRUNC(E3281*F3281,2)</f>
        <v>36.49</v>
      </c>
      <c r="H3281" s="130"/>
    </row>
    <row r="3282" spans="1:8">
      <c r="A3282" s="942">
        <v>297</v>
      </c>
      <c r="B3282" s="1003" t="s">
        <v>3039</v>
      </c>
      <c r="C3282" s="943" t="s">
        <v>87</v>
      </c>
      <c r="D3282" s="943" t="s">
        <v>5</v>
      </c>
      <c r="E3282" s="458">
        <v>1</v>
      </c>
      <c r="F3282" s="943">
        <v>2.63</v>
      </c>
      <c r="G3282" s="441">
        <f t="shared" si="135"/>
        <v>2.63</v>
      </c>
      <c r="H3282" s="937"/>
    </row>
    <row r="3283" spans="1:8" ht="13.5" customHeight="1">
      <c r="A3283" s="942" t="s">
        <v>293</v>
      </c>
      <c r="B3283" s="1003" t="s">
        <v>294</v>
      </c>
      <c r="C3283" s="438" t="s">
        <v>87</v>
      </c>
      <c r="D3283" s="438" t="s">
        <v>5</v>
      </c>
      <c r="E3283" s="438">
        <v>1.4800000000000001E-2</v>
      </c>
      <c r="F3283" s="438">
        <v>82.47</v>
      </c>
      <c r="G3283" s="441">
        <f t="shared" si="135"/>
        <v>1.22</v>
      </c>
      <c r="H3283" s="130"/>
    </row>
    <row r="3284" spans="1:8" ht="30" customHeight="1">
      <c r="A3284" s="942">
        <v>20078</v>
      </c>
      <c r="B3284" s="1003" t="s">
        <v>3041</v>
      </c>
      <c r="C3284" s="943" t="s">
        <v>87</v>
      </c>
      <c r="D3284" s="943" t="s">
        <v>5</v>
      </c>
      <c r="E3284" s="943">
        <v>0.03</v>
      </c>
      <c r="F3284" s="943">
        <v>30.2</v>
      </c>
      <c r="G3284" s="441"/>
      <c r="H3284" s="937"/>
    </row>
    <row r="3285" spans="1:8" ht="14.1" customHeight="1">
      <c r="A3285" s="942" t="s">
        <v>298</v>
      </c>
      <c r="B3285" s="1003" t="s">
        <v>299</v>
      </c>
      <c r="C3285" s="438" t="s">
        <v>87</v>
      </c>
      <c r="D3285" s="438" t="s">
        <v>5</v>
      </c>
      <c r="E3285" s="438">
        <v>2.2499999999999999E-2</v>
      </c>
      <c r="F3285" s="438">
        <v>71.62</v>
      </c>
      <c r="G3285" s="441">
        <f t="shared" si="135"/>
        <v>1.61</v>
      </c>
      <c r="H3285" s="130"/>
    </row>
    <row r="3286" spans="1:8" ht="14.1" customHeight="1">
      <c r="A3286" s="448" t="s">
        <v>302</v>
      </c>
      <c r="B3286" s="453" t="s">
        <v>303</v>
      </c>
      <c r="C3286" s="438" t="s">
        <v>87</v>
      </c>
      <c r="D3286" s="438" t="s">
        <v>5</v>
      </c>
      <c r="E3286" s="438" t="s">
        <v>304</v>
      </c>
      <c r="F3286" s="438">
        <v>1.99</v>
      </c>
      <c r="G3286" s="441">
        <f>TRUNC(E3286*F3286,2)</f>
        <v>0.03</v>
      </c>
      <c r="H3286" s="130"/>
    </row>
    <row r="3287" spans="1:8" ht="14.1" customHeight="1">
      <c r="A3287" s="1200">
        <v>88248</v>
      </c>
      <c r="B3287" s="1119" t="s">
        <v>307</v>
      </c>
      <c r="C3287" s="438" t="s">
        <v>104</v>
      </c>
      <c r="D3287" s="1121" t="s">
        <v>383</v>
      </c>
      <c r="E3287" s="1121">
        <v>0.38</v>
      </c>
      <c r="F3287" s="415">
        <f>'COMP AUX'!G321</f>
        <v>10.98</v>
      </c>
      <c r="G3287" s="441">
        <f>TRUNC(E3287*F3287,2)</f>
        <v>4.17</v>
      </c>
      <c r="H3287" s="130"/>
    </row>
    <row r="3288" spans="1:8" ht="14.1" customHeight="1">
      <c r="A3288" s="1160"/>
      <c r="B3288" s="1120"/>
      <c r="C3288" s="438" t="s">
        <v>87</v>
      </c>
      <c r="D3288" s="1122"/>
      <c r="E3288" s="1122"/>
      <c r="F3288" s="415">
        <f>'COMP AUX'!G322</f>
        <v>4.4000000000000004</v>
      </c>
      <c r="G3288" s="441">
        <f>TRUNC(E3287*F3288,2)</f>
        <v>1.67</v>
      </c>
      <c r="H3288" s="130"/>
    </row>
    <row r="3289" spans="1:8" ht="14.1" customHeight="1">
      <c r="A3289" s="1200">
        <v>88267</v>
      </c>
      <c r="B3289" s="1119" t="s">
        <v>271</v>
      </c>
      <c r="C3289" s="438" t="s">
        <v>104</v>
      </c>
      <c r="D3289" s="1121" t="s">
        <v>383</v>
      </c>
      <c r="E3289" s="1121">
        <v>0.38</v>
      </c>
      <c r="F3289" s="415">
        <f>'COMP AUX'!G338</f>
        <v>15.5</v>
      </c>
      <c r="G3289" s="441">
        <f>TRUNC(E3289*F3289,2)</f>
        <v>5.89</v>
      </c>
      <c r="H3289" s="130"/>
    </row>
    <row r="3290" spans="1:8" ht="14.1" customHeight="1">
      <c r="A3290" s="1160"/>
      <c r="B3290" s="1178"/>
      <c r="C3290" s="438" t="s">
        <v>87</v>
      </c>
      <c r="D3290" s="1122"/>
      <c r="E3290" s="1122"/>
      <c r="F3290" s="415">
        <f>'COMP AUX'!G339</f>
        <v>4.4000000000000004</v>
      </c>
      <c r="G3290" s="441">
        <f>TRUNC(E3289*F3290,2)</f>
        <v>1.67</v>
      </c>
      <c r="H3290" s="130"/>
    </row>
    <row r="3291" spans="1:8" ht="14.1" customHeight="1">
      <c r="A3291" s="456"/>
      <c r="B3291" s="456"/>
      <c r="C3291" s="456"/>
      <c r="D3291" s="456"/>
      <c r="E3291" s="456"/>
      <c r="F3291" s="416" t="s">
        <v>90</v>
      </c>
      <c r="G3291" s="441">
        <f>G3287+G3289</f>
        <v>10.059999999999999</v>
      </c>
      <c r="H3291" s="130"/>
    </row>
    <row r="3292" spans="1:8" ht="14.1" customHeight="1">
      <c r="A3292" s="456"/>
      <c r="B3292" s="456"/>
      <c r="C3292" s="456"/>
      <c r="D3292" s="456"/>
      <c r="E3292" s="456"/>
      <c r="F3292" s="416" t="s">
        <v>92</v>
      </c>
      <c r="G3292" s="441">
        <f>G3281+G3283+G3285+G3286+G3288+G3290</f>
        <v>42.690000000000005</v>
      </c>
      <c r="H3292" s="130"/>
    </row>
    <row r="3293" spans="1:8" ht="14.1" customHeight="1">
      <c r="A3293" s="413" t="s">
        <v>94</v>
      </c>
      <c r="B3293" s="130"/>
      <c r="C3293" s="456"/>
      <c r="D3293" s="456"/>
      <c r="E3293" s="456"/>
      <c r="F3293" s="416" t="s">
        <v>93</v>
      </c>
      <c r="G3293" s="824">
        <f>SUM(G3291:G3292)</f>
        <v>52.75</v>
      </c>
      <c r="H3293" s="130"/>
    </row>
    <row r="3294" spans="1:8" ht="14.1" customHeight="1">
      <c r="A3294" s="464" t="s">
        <v>95</v>
      </c>
      <c r="B3294" s="385">
        <f>G3293</f>
        <v>52.75</v>
      </c>
      <c r="C3294" s="130"/>
      <c r="D3294" s="130"/>
      <c r="E3294" s="130"/>
      <c r="F3294" s="126"/>
      <c r="G3294" s="126"/>
      <c r="H3294" s="130"/>
    </row>
    <row r="3295" spans="1:8" ht="14.1" customHeight="1">
      <c r="A3295" s="382" t="s">
        <v>2272</v>
      </c>
      <c r="B3295" s="381"/>
      <c r="C3295" s="130"/>
      <c r="D3295" s="130"/>
      <c r="E3295" s="130"/>
      <c r="F3295" s="126"/>
      <c r="G3295" s="126"/>
      <c r="H3295" s="130"/>
    </row>
    <row r="3296" spans="1:8" ht="14.1" customHeight="1">
      <c r="A3296" s="443" t="s">
        <v>2311</v>
      </c>
      <c r="B3296" s="381">
        <f>(B3294+B3295)*0.245</f>
        <v>12.92375</v>
      </c>
      <c r="C3296" s="130"/>
      <c r="D3296" s="130"/>
      <c r="E3296" s="130"/>
      <c r="F3296" s="126"/>
      <c r="G3296" s="126"/>
      <c r="H3296" s="130"/>
    </row>
    <row r="3297" spans="1:8" ht="14.1" customHeight="1">
      <c r="A3297" s="464" t="s">
        <v>98</v>
      </c>
      <c r="B3297" s="386">
        <f>SUM(B3294:B3296)</f>
        <v>65.673749999999998</v>
      </c>
      <c r="C3297" s="130"/>
      <c r="D3297" s="130"/>
      <c r="E3297" s="130"/>
      <c r="F3297" s="126"/>
      <c r="G3297" s="126"/>
      <c r="H3297" s="130"/>
    </row>
    <row r="3298" spans="1:8">
      <c r="A3298" s="362"/>
      <c r="B3298" s="363"/>
      <c r="C3298" s="364"/>
      <c r="D3298" s="362"/>
      <c r="E3298" s="363"/>
      <c r="F3298" s="363"/>
      <c r="G3298" s="363"/>
      <c r="H3298" s="362"/>
    </row>
    <row r="3300" spans="1:8">
      <c r="A3300" s="122" t="s">
        <v>1287</v>
      </c>
    </row>
    <row r="3301" spans="1:8">
      <c r="A3301" s="134" t="s">
        <v>2254</v>
      </c>
      <c r="B3301" s="130"/>
      <c r="C3301" s="130"/>
      <c r="D3301" s="130"/>
      <c r="E3301" s="130"/>
      <c r="F3301" s="130"/>
      <c r="G3301" s="130"/>
      <c r="H3301" s="130"/>
    </row>
    <row r="3302" spans="1:8" ht="41.25" customHeight="1">
      <c r="A3302" s="465" t="s">
        <v>1549</v>
      </c>
      <c r="B3302" s="1161" t="s">
        <v>1896</v>
      </c>
      <c r="C3302" s="1161"/>
      <c r="D3302" s="610" t="s">
        <v>391</v>
      </c>
      <c r="E3302" s="455"/>
      <c r="F3302" s="455"/>
      <c r="G3302" s="455"/>
      <c r="H3302" s="455"/>
    </row>
    <row r="3303" spans="1:8" ht="20.399999999999999">
      <c r="A3303" s="309" t="s">
        <v>30</v>
      </c>
      <c r="B3303" s="354" t="s">
        <v>19</v>
      </c>
      <c r="C3303" s="293" t="s">
        <v>81</v>
      </c>
      <c r="D3303" s="294" t="s">
        <v>77</v>
      </c>
      <c r="E3303" s="294" t="s">
        <v>82</v>
      </c>
      <c r="F3303" s="295" t="s">
        <v>83</v>
      </c>
      <c r="G3303" s="355" t="s">
        <v>84</v>
      </c>
    </row>
    <row r="3304" spans="1:8" ht="26.25" customHeight="1">
      <c r="A3304" s="448" t="s">
        <v>2252</v>
      </c>
      <c r="B3304" s="453" t="s">
        <v>2253</v>
      </c>
      <c r="C3304" s="438" t="s">
        <v>87</v>
      </c>
      <c r="D3304" s="438" t="s">
        <v>391</v>
      </c>
      <c r="E3304" s="476">
        <v>1.0389999999999999</v>
      </c>
      <c r="F3304" s="438">
        <v>12.32</v>
      </c>
      <c r="G3304" s="441">
        <f t="shared" ref="G3304" si="136">TRUNC(E3304*F3304,2)</f>
        <v>12.8</v>
      </c>
      <c r="H3304" s="130"/>
    </row>
    <row r="3305" spans="1:8" ht="14.1" customHeight="1">
      <c r="A3305" s="1200">
        <v>88248</v>
      </c>
      <c r="B3305" s="1119" t="s">
        <v>307</v>
      </c>
      <c r="C3305" s="438" t="s">
        <v>104</v>
      </c>
      <c r="D3305" s="1121" t="s">
        <v>383</v>
      </c>
      <c r="E3305" s="1121">
        <v>0.29699999999999999</v>
      </c>
      <c r="F3305" s="415">
        <f>'COMP AUX'!G321</f>
        <v>10.98</v>
      </c>
      <c r="G3305" s="441">
        <f>TRUNC(E3305*F3305,2)</f>
        <v>3.26</v>
      </c>
      <c r="H3305" s="130"/>
    </row>
    <row r="3306" spans="1:8" ht="14.1" customHeight="1">
      <c r="A3306" s="1160"/>
      <c r="B3306" s="1120"/>
      <c r="C3306" s="438" t="s">
        <v>87</v>
      </c>
      <c r="D3306" s="1122"/>
      <c r="E3306" s="1122"/>
      <c r="F3306" s="415">
        <f>'COMP AUX'!G322</f>
        <v>4.4000000000000004</v>
      </c>
      <c r="G3306" s="441">
        <f>TRUNC(E3305*F3306,2)</f>
        <v>1.3</v>
      </c>
      <c r="H3306" s="130"/>
    </row>
    <row r="3307" spans="1:8" ht="14.1" customHeight="1">
      <c r="A3307" s="1200">
        <v>88267</v>
      </c>
      <c r="B3307" s="1119" t="s">
        <v>271</v>
      </c>
      <c r="C3307" s="438" t="s">
        <v>104</v>
      </c>
      <c r="D3307" s="1121" t="s">
        <v>383</v>
      </c>
      <c r="E3307" s="1121">
        <v>0.29699999999999999</v>
      </c>
      <c r="F3307" s="415">
        <f>'COMP AUX'!G338</f>
        <v>15.5</v>
      </c>
      <c r="G3307" s="441">
        <f>TRUNC(E3307*F3307,2)</f>
        <v>4.5999999999999996</v>
      </c>
      <c r="H3307" s="130"/>
    </row>
    <row r="3308" spans="1:8" ht="14.1" customHeight="1">
      <c r="A3308" s="1160"/>
      <c r="B3308" s="1178"/>
      <c r="C3308" s="438" t="s">
        <v>87</v>
      </c>
      <c r="D3308" s="1122"/>
      <c r="E3308" s="1122"/>
      <c r="F3308" s="415">
        <f>'COMP AUX'!G339</f>
        <v>4.4000000000000004</v>
      </c>
      <c r="G3308" s="441">
        <f>TRUNC(E3307*F3308,2)</f>
        <v>1.3</v>
      </c>
      <c r="H3308" s="130"/>
    </row>
    <row r="3309" spans="1:8" ht="14.1" customHeight="1">
      <c r="A3309" s="456"/>
      <c r="B3309" s="456"/>
      <c r="C3309" s="456"/>
      <c r="D3309" s="456"/>
      <c r="E3309" s="456"/>
      <c r="F3309" s="416" t="s">
        <v>90</v>
      </c>
      <c r="G3309" s="441">
        <f>G3305+G3307</f>
        <v>7.8599999999999994</v>
      </c>
      <c r="H3309" s="130"/>
    </row>
    <row r="3310" spans="1:8" ht="14.1" customHeight="1">
      <c r="A3310" s="456"/>
      <c r="B3310" s="456"/>
      <c r="C3310" s="456"/>
      <c r="D3310" s="456"/>
      <c r="E3310" s="456"/>
      <c r="F3310" s="416" t="s">
        <v>92</v>
      </c>
      <c r="G3310" s="414">
        <f>G3304+G3306+G3308</f>
        <v>15.400000000000002</v>
      </c>
      <c r="H3310" s="130"/>
    </row>
    <row r="3311" spans="1:8" ht="14.1" customHeight="1">
      <c r="A3311" s="413" t="s">
        <v>94</v>
      </c>
      <c r="B3311" s="130"/>
      <c r="C3311" s="456"/>
      <c r="D3311" s="456"/>
      <c r="E3311" s="456"/>
      <c r="F3311" s="416" t="s">
        <v>93</v>
      </c>
      <c r="G3311" s="442">
        <f>SUM(G3309:G3310)</f>
        <v>23.26</v>
      </c>
      <c r="H3311" s="130"/>
    </row>
    <row r="3312" spans="1:8" ht="14.1" customHeight="1">
      <c r="A3312" s="464" t="s">
        <v>95</v>
      </c>
      <c r="B3312" s="385">
        <f>G3311</f>
        <v>23.26</v>
      </c>
      <c r="C3312" s="130"/>
      <c r="D3312" s="130"/>
      <c r="E3312" s="130"/>
      <c r="F3312" s="126"/>
      <c r="G3312" s="126"/>
      <c r="H3312" s="130"/>
    </row>
    <row r="3313" spans="1:8" ht="14.1" customHeight="1">
      <c r="A3313" s="382" t="s">
        <v>2272</v>
      </c>
      <c r="B3313" s="381"/>
      <c r="C3313" s="130"/>
      <c r="D3313" s="130"/>
      <c r="E3313" s="130"/>
      <c r="F3313" s="126"/>
      <c r="G3313" s="126"/>
      <c r="H3313" s="130"/>
    </row>
    <row r="3314" spans="1:8" ht="14.1" customHeight="1">
      <c r="A3314" s="443" t="s">
        <v>2311</v>
      </c>
      <c r="B3314" s="381">
        <f>(B3312+B3313)*0.245</f>
        <v>5.6987000000000005</v>
      </c>
      <c r="C3314" s="130"/>
      <c r="D3314" s="130"/>
      <c r="E3314" s="130"/>
      <c r="F3314" s="126"/>
      <c r="G3314" s="126"/>
      <c r="H3314" s="130"/>
    </row>
    <row r="3315" spans="1:8" ht="14.1" customHeight="1">
      <c r="A3315" s="464" t="s">
        <v>98</v>
      </c>
      <c r="B3315" s="386">
        <f>SUM(B3312:B3314)</f>
        <v>28.9587</v>
      </c>
      <c r="C3315" s="130"/>
      <c r="D3315" s="130"/>
      <c r="E3315" s="130"/>
      <c r="F3315" s="126"/>
      <c r="G3315" s="126"/>
      <c r="H3315" s="130"/>
    </row>
    <row r="3316" spans="1:8">
      <c r="A3316" s="362"/>
      <c r="B3316" s="363"/>
      <c r="C3316" s="364"/>
      <c r="D3316" s="362"/>
      <c r="E3316" s="363"/>
      <c r="F3316" s="363"/>
      <c r="G3316" s="363"/>
      <c r="H3316" s="362"/>
    </row>
    <row r="3318" spans="1:8">
      <c r="A3318" s="122" t="s">
        <v>1287</v>
      </c>
    </row>
    <row r="3319" spans="1:8">
      <c r="A3319" s="1202" t="s">
        <v>2382</v>
      </c>
      <c r="B3319" s="1203"/>
      <c r="C3319" s="1203"/>
      <c r="D3319" s="1203"/>
      <c r="E3319" s="1203"/>
      <c r="F3319" s="1203"/>
      <c r="G3319" s="1203"/>
      <c r="H3319" s="1203"/>
    </row>
    <row r="3320" spans="1:8" ht="26.25" customHeight="1">
      <c r="A3320" s="465" t="s">
        <v>1548</v>
      </c>
      <c r="B3320" s="1116" t="s">
        <v>2383</v>
      </c>
      <c r="C3320" s="1116"/>
      <c r="D3320" s="643" t="s">
        <v>1452</v>
      </c>
      <c r="E3320" s="455"/>
      <c r="F3320" s="455"/>
      <c r="G3320" s="455"/>
      <c r="H3320" s="455"/>
    </row>
    <row r="3321" spans="1:8" ht="20.399999999999999">
      <c r="A3321" s="309" t="s">
        <v>30</v>
      </c>
      <c r="B3321" s="354" t="s">
        <v>19</v>
      </c>
      <c r="C3321" s="293" t="s">
        <v>81</v>
      </c>
      <c r="D3321" s="294" t="s">
        <v>77</v>
      </c>
      <c r="E3321" s="294" t="s">
        <v>82</v>
      </c>
      <c r="F3321" s="295" t="s">
        <v>83</v>
      </c>
      <c r="G3321" s="355" t="s">
        <v>84</v>
      </c>
    </row>
    <row r="3322" spans="1:8" ht="20.399999999999999">
      <c r="A3322" s="448" t="s">
        <v>290</v>
      </c>
      <c r="B3322" s="453" t="s">
        <v>291</v>
      </c>
      <c r="C3322" s="438" t="s">
        <v>87</v>
      </c>
      <c r="D3322" s="438" t="s">
        <v>5</v>
      </c>
      <c r="E3322" s="438" t="s">
        <v>101</v>
      </c>
      <c r="F3322" s="438" t="s">
        <v>292</v>
      </c>
      <c r="G3322" s="441">
        <f t="shared" ref="G3322:G3327" si="137">TRUNC(E3322*F3322,2)</f>
        <v>5.05</v>
      </c>
      <c r="H3322" s="130"/>
    </row>
    <row r="3323" spans="1:8" ht="14.1" customHeight="1">
      <c r="A3323" s="448" t="s">
        <v>293</v>
      </c>
      <c r="B3323" s="453" t="s">
        <v>294</v>
      </c>
      <c r="C3323" s="438" t="s">
        <v>87</v>
      </c>
      <c r="D3323" s="438" t="s">
        <v>5</v>
      </c>
      <c r="E3323" s="438" t="s">
        <v>295</v>
      </c>
      <c r="F3323" s="438" t="s">
        <v>296</v>
      </c>
      <c r="G3323" s="441">
        <f t="shared" si="137"/>
        <v>0.18</v>
      </c>
      <c r="H3323" s="130"/>
    </row>
    <row r="3324" spans="1:8">
      <c r="A3324" s="448" t="s">
        <v>298</v>
      </c>
      <c r="B3324" s="453" t="s">
        <v>299</v>
      </c>
      <c r="C3324" s="438" t="s">
        <v>87</v>
      </c>
      <c r="D3324" s="438" t="s">
        <v>5</v>
      </c>
      <c r="E3324" s="438" t="s">
        <v>300</v>
      </c>
      <c r="F3324" s="438" t="s">
        <v>301</v>
      </c>
      <c r="G3324" s="441">
        <f t="shared" si="137"/>
        <v>0.24</v>
      </c>
      <c r="H3324" s="130"/>
    </row>
    <row r="3325" spans="1:8" ht="14.1" customHeight="1">
      <c r="A3325" s="448" t="s">
        <v>302</v>
      </c>
      <c r="B3325" s="453" t="s">
        <v>303</v>
      </c>
      <c r="C3325" s="438" t="s">
        <v>87</v>
      </c>
      <c r="D3325" s="438" t="s">
        <v>5</v>
      </c>
      <c r="E3325" s="438" t="s">
        <v>304</v>
      </c>
      <c r="F3325" s="438" t="s">
        <v>305</v>
      </c>
      <c r="G3325" s="441">
        <f t="shared" si="137"/>
        <v>0.02</v>
      </c>
      <c r="H3325" s="130"/>
    </row>
    <row r="3326" spans="1:8" ht="20.399999999999999">
      <c r="A3326" s="448" t="s">
        <v>306</v>
      </c>
      <c r="B3326" s="453" t="s">
        <v>307</v>
      </c>
      <c r="C3326" s="438" t="s">
        <v>108</v>
      </c>
      <c r="D3326" s="438" t="s">
        <v>105</v>
      </c>
      <c r="E3326" s="438" t="s">
        <v>278</v>
      </c>
      <c r="F3326" s="438" t="s">
        <v>173</v>
      </c>
      <c r="G3326" s="441">
        <f t="shared" si="137"/>
        <v>0.82</v>
      </c>
      <c r="H3326" s="130"/>
    </row>
    <row r="3327" spans="1:8" ht="20.399999999999999">
      <c r="A3327" s="448" t="s">
        <v>270</v>
      </c>
      <c r="B3327" s="453" t="s">
        <v>271</v>
      </c>
      <c r="C3327" s="438" t="s">
        <v>108</v>
      </c>
      <c r="D3327" s="438" t="s">
        <v>105</v>
      </c>
      <c r="E3327" s="438" t="s">
        <v>278</v>
      </c>
      <c r="F3327" s="438" t="s">
        <v>273</v>
      </c>
      <c r="G3327" s="441">
        <f t="shared" si="137"/>
        <v>0.98</v>
      </c>
      <c r="H3327" s="130"/>
    </row>
    <row r="3328" spans="1:8" ht="14.1" customHeight="1">
      <c r="A3328" s="456"/>
      <c r="B3328" s="456"/>
      <c r="C3328" s="456"/>
      <c r="D3328" s="456"/>
      <c r="E3328" s="456"/>
      <c r="F3328" s="416" t="s">
        <v>90</v>
      </c>
      <c r="G3328" s="441" t="s">
        <v>308</v>
      </c>
      <c r="H3328" s="130"/>
    </row>
    <row r="3329" spans="1:8" ht="14.1" customHeight="1">
      <c r="A3329" s="456"/>
      <c r="B3329" s="456"/>
      <c r="C3329" s="456"/>
      <c r="D3329" s="456"/>
      <c r="E3329" s="456"/>
      <c r="F3329" s="416" t="s">
        <v>92</v>
      </c>
      <c r="G3329" s="441" t="s">
        <v>309</v>
      </c>
      <c r="H3329" s="130"/>
    </row>
    <row r="3330" spans="1:8" ht="14.1" customHeight="1">
      <c r="A3330" s="413" t="s">
        <v>94</v>
      </c>
      <c r="B3330" s="130"/>
      <c r="C3330" s="456"/>
      <c r="D3330" s="456"/>
      <c r="E3330" s="456"/>
      <c r="F3330" s="416" t="s">
        <v>93</v>
      </c>
      <c r="G3330" s="441" t="s">
        <v>310</v>
      </c>
      <c r="H3330" s="130"/>
    </row>
    <row r="3331" spans="1:8" ht="14.1" customHeight="1">
      <c r="A3331" s="464" t="s">
        <v>95</v>
      </c>
      <c r="B3331" s="385" t="str">
        <f>G3330</f>
        <v>7,33</v>
      </c>
      <c r="C3331" s="130"/>
      <c r="D3331" s="130"/>
      <c r="E3331" s="130"/>
      <c r="F3331" s="126"/>
      <c r="G3331" s="126"/>
      <c r="H3331" s="130"/>
    </row>
    <row r="3332" spans="1:8" ht="14.1" customHeight="1">
      <c r="A3332" s="382" t="s">
        <v>2272</v>
      </c>
      <c r="B3332" s="381"/>
      <c r="C3332" s="130"/>
      <c r="D3332" s="130"/>
      <c r="E3332" s="130"/>
      <c r="F3332" s="126"/>
      <c r="G3332" s="126"/>
      <c r="H3332" s="130"/>
    </row>
    <row r="3333" spans="1:8" ht="14.1" customHeight="1">
      <c r="A3333" s="443" t="s">
        <v>2311</v>
      </c>
      <c r="B3333" s="381">
        <f>(B3331+B3332)*0.245</f>
        <v>1.7958499999999999</v>
      </c>
      <c r="C3333" s="130"/>
      <c r="D3333" s="130"/>
      <c r="E3333" s="130"/>
      <c r="F3333" s="126"/>
      <c r="G3333" s="126"/>
      <c r="H3333" s="130"/>
    </row>
    <row r="3334" spans="1:8" ht="14.1" customHeight="1">
      <c r="A3334" s="464" t="s">
        <v>98</v>
      </c>
      <c r="B3334" s="386">
        <f>SUM(B3331:B3333)</f>
        <v>1.7958499999999999</v>
      </c>
      <c r="C3334" s="130"/>
      <c r="D3334" s="130"/>
      <c r="E3334" s="130"/>
      <c r="F3334" s="126"/>
      <c r="G3334" s="126"/>
      <c r="H3334" s="130"/>
    </row>
    <row r="3335" spans="1:8">
      <c r="A3335" s="362"/>
      <c r="B3335" s="363"/>
      <c r="C3335" s="364"/>
      <c r="D3335" s="362"/>
      <c r="E3335" s="363"/>
      <c r="F3335" s="363"/>
      <c r="G3335" s="363"/>
      <c r="H3335" s="362"/>
    </row>
    <row r="3337" spans="1:8">
      <c r="A3337" s="122" t="s">
        <v>1287</v>
      </c>
    </row>
    <row r="3338" spans="1:8">
      <c r="A3338" s="1237" t="s">
        <v>1513</v>
      </c>
      <c r="B3338" s="1238"/>
      <c r="C3338" s="1238"/>
      <c r="D3338" s="1238"/>
      <c r="E3338" s="1238"/>
      <c r="F3338" s="1238"/>
      <c r="G3338" s="1238"/>
      <c r="H3338" s="1238"/>
    </row>
    <row r="3339" spans="1:8" ht="40.5" customHeight="1">
      <c r="A3339" s="1250" t="s">
        <v>348</v>
      </c>
      <c r="B3339" s="1250"/>
      <c r="C3339" s="1250"/>
      <c r="D3339" s="1250"/>
      <c r="E3339" s="440" t="s">
        <v>1452</v>
      </c>
      <c r="F3339" s="131"/>
      <c r="G3339" s="131"/>
      <c r="H3339" s="131"/>
    </row>
    <row r="3340" spans="1:8" ht="20.399999999999999">
      <c r="A3340" s="309" t="s">
        <v>30</v>
      </c>
      <c r="B3340" s="354" t="s">
        <v>19</v>
      </c>
      <c r="C3340" s="293" t="s">
        <v>81</v>
      </c>
      <c r="D3340" s="294" t="s">
        <v>77</v>
      </c>
      <c r="E3340" s="294" t="s">
        <v>82</v>
      </c>
      <c r="F3340" s="295" t="s">
        <v>83</v>
      </c>
      <c r="G3340" s="355" t="s">
        <v>84</v>
      </c>
      <c r="H3340" s="131"/>
    </row>
    <row r="3341" spans="1:8">
      <c r="A3341" s="492">
        <v>34</v>
      </c>
      <c r="B3341" s="451" t="s">
        <v>1390</v>
      </c>
      <c r="C3341" s="395" t="s">
        <v>87</v>
      </c>
      <c r="D3341" s="395" t="s">
        <v>1319</v>
      </c>
      <c r="E3341" s="406">
        <v>8</v>
      </c>
      <c r="F3341" s="395">
        <v>4.2699999999999996</v>
      </c>
      <c r="G3341" s="396">
        <f t="shared" ref="G3341:G3353" si="138">TRUNC(E3341*F3341,2)</f>
        <v>34.159999999999997</v>
      </c>
      <c r="H3341" s="131"/>
    </row>
    <row r="3342" spans="1:8" ht="24" customHeight="1">
      <c r="A3342" s="492">
        <v>3992</v>
      </c>
      <c r="B3342" s="451" t="s">
        <v>936</v>
      </c>
      <c r="C3342" s="395" t="s">
        <v>87</v>
      </c>
      <c r="D3342" s="395" t="s">
        <v>391</v>
      </c>
      <c r="E3342" s="406">
        <v>0.6</v>
      </c>
      <c r="F3342" s="395">
        <v>8.68</v>
      </c>
      <c r="G3342" s="396">
        <f t="shared" si="138"/>
        <v>5.2</v>
      </c>
      <c r="H3342" s="131"/>
    </row>
    <row r="3343" spans="1:8">
      <c r="A3343" s="492">
        <v>5075</v>
      </c>
      <c r="B3343" s="451" t="s">
        <v>137</v>
      </c>
      <c r="C3343" s="395" t="s">
        <v>87</v>
      </c>
      <c r="D3343" s="395" t="s">
        <v>1319</v>
      </c>
      <c r="E3343" s="395" t="s">
        <v>297</v>
      </c>
      <c r="F3343" s="395">
        <v>9.15</v>
      </c>
      <c r="G3343" s="396">
        <f t="shared" si="138"/>
        <v>1.64</v>
      </c>
      <c r="H3343" s="131"/>
    </row>
    <row r="3344" spans="1:8" ht="14.1" customHeight="1">
      <c r="A3344" s="492">
        <v>7258</v>
      </c>
      <c r="B3344" s="451" t="s">
        <v>2302</v>
      </c>
      <c r="C3344" s="395" t="s">
        <v>87</v>
      </c>
      <c r="D3344" s="395" t="s">
        <v>5</v>
      </c>
      <c r="E3344" s="395" t="s">
        <v>315</v>
      </c>
      <c r="F3344" s="395">
        <v>0.33</v>
      </c>
      <c r="G3344" s="396">
        <f t="shared" si="138"/>
        <v>260.7</v>
      </c>
      <c r="H3344" s="131"/>
    </row>
    <row r="3345" spans="1:8">
      <c r="A3345" s="449" t="s">
        <v>316</v>
      </c>
      <c r="B3345" s="451" t="s">
        <v>317</v>
      </c>
      <c r="C3345" s="395" t="s">
        <v>108</v>
      </c>
      <c r="D3345" s="395" t="s">
        <v>112</v>
      </c>
      <c r="E3345" s="395" t="s">
        <v>281</v>
      </c>
      <c r="F3345" s="519" t="s">
        <v>318</v>
      </c>
      <c r="G3345" s="396">
        <f t="shared" si="138"/>
        <v>76.540000000000006</v>
      </c>
      <c r="H3345" s="131"/>
    </row>
    <row r="3346" spans="1:8" ht="14.1" customHeight="1">
      <c r="A3346" s="449" t="s">
        <v>319</v>
      </c>
      <c r="B3346" s="451" t="s">
        <v>320</v>
      </c>
      <c r="C3346" s="395" t="s">
        <v>108</v>
      </c>
      <c r="D3346" s="395" t="s">
        <v>112</v>
      </c>
      <c r="E3346" s="395" t="s">
        <v>321</v>
      </c>
      <c r="F3346" s="519" t="s">
        <v>322</v>
      </c>
      <c r="G3346" s="396">
        <f t="shared" si="138"/>
        <v>7.03</v>
      </c>
      <c r="H3346" s="131"/>
    </row>
    <row r="3347" spans="1:8" ht="14.1" customHeight="1">
      <c r="A3347" s="449" t="s">
        <v>323</v>
      </c>
      <c r="B3347" s="451" t="s">
        <v>324</v>
      </c>
      <c r="C3347" s="395" t="s">
        <v>108</v>
      </c>
      <c r="D3347" s="395" t="s">
        <v>112</v>
      </c>
      <c r="E3347" s="395" t="s">
        <v>325</v>
      </c>
      <c r="F3347" s="519" t="s">
        <v>326</v>
      </c>
      <c r="G3347" s="396">
        <f t="shared" si="138"/>
        <v>15.12</v>
      </c>
      <c r="H3347" s="131"/>
    </row>
    <row r="3348" spans="1:8" ht="14.1" customHeight="1">
      <c r="A3348" s="449" t="s">
        <v>327</v>
      </c>
      <c r="B3348" s="451" t="s">
        <v>328</v>
      </c>
      <c r="C3348" s="395" t="s">
        <v>108</v>
      </c>
      <c r="D3348" s="395" t="s">
        <v>112</v>
      </c>
      <c r="E3348" s="395" t="s">
        <v>329</v>
      </c>
      <c r="F3348" s="519" t="s">
        <v>330</v>
      </c>
      <c r="G3348" s="396">
        <f t="shared" si="138"/>
        <v>22.81</v>
      </c>
      <c r="H3348" s="131"/>
    </row>
    <row r="3349" spans="1:8" ht="14.1" customHeight="1">
      <c r="A3349" s="449" t="s">
        <v>331</v>
      </c>
      <c r="B3349" s="451" t="s">
        <v>332</v>
      </c>
      <c r="C3349" s="395" t="s">
        <v>108</v>
      </c>
      <c r="D3349" s="395" t="s">
        <v>112</v>
      </c>
      <c r="E3349" s="395" t="s">
        <v>329</v>
      </c>
      <c r="F3349" s="519" t="s">
        <v>333</v>
      </c>
      <c r="G3349" s="396">
        <f t="shared" si="138"/>
        <v>21.07</v>
      </c>
      <c r="H3349" s="131"/>
    </row>
    <row r="3350" spans="1:8" ht="14.1" customHeight="1">
      <c r="A3350" s="449" t="s">
        <v>334</v>
      </c>
      <c r="B3350" s="451" t="s">
        <v>335</v>
      </c>
      <c r="C3350" s="395" t="s">
        <v>108</v>
      </c>
      <c r="D3350" s="395" t="s">
        <v>112</v>
      </c>
      <c r="E3350" s="395" t="s">
        <v>336</v>
      </c>
      <c r="F3350" s="519" t="s">
        <v>337</v>
      </c>
      <c r="G3350" s="396">
        <f t="shared" si="138"/>
        <v>25.94</v>
      </c>
      <c r="H3350" s="131"/>
    </row>
    <row r="3351" spans="1:8" ht="14.1" customHeight="1">
      <c r="A3351" s="449" t="s">
        <v>338</v>
      </c>
      <c r="B3351" s="451" t="s">
        <v>339</v>
      </c>
      <c r="C3351" s="395" t="s">
        <v>108</v>
      </c>
      <c r="D3351" s="395" t="s">
        <v>100</v>
      </c>
      <c r="E3351" s="395" t="s">
        <v>340</v>
      </c>
      <c r="F3351" s="519" t="s">
        <v>341</v>
      </c>
      <c r="G3351" s="396">
        <f t="shared" si="138"/>
        <v>59.47</v>
      </c>
      <c r="H3351" s="131"/>
    </row>
    <row r="3352" spans="1:8" ht="20.399999999999999">
      <c r="A3352" s="449" t="s">
        <v>342</v>
      </c>
      <c r="B3352" s="451" t="s">
        <v>343</v>
      </c>
      <c r="C3352" s="395" t="s">
        <v>104</v>
      </c>
      <c r="D3352" s="395" t="s">
        <v>105</v>
      </c>
      <c r="E3352" s="395" t="s">
        <v>344</v>
      </c>
      <c r="F3352" s="519" t="s">
        <v>157</v>
      </c>
      <c r="G3352" s="396">
        <f t="shared" si="138"/>
        <v>139.43</v>
      </c>
      <c r="H3352" s="131"/>
    </row>
    <row r="3353" spans="1:8" ht="20.399999999999999">
      <c r="A3353" s="449" t="s">
        <v>171</v>
      </c>
      <c r="B3353" s="451" t="s">
        <v>172</v>
      </c>
      <c r="C3353" s="395" t="s">
        <v>104</v>
      </c>
      <c r="D3353" s="395" t="s">
        <v>105</v>
      </c>
      <c r="E3353" s="395" t="s">
        <v>344</v>
      </c>
      <c r="F3353" s="519" t="s">
        <v>173</v>
      </c>
      <c r="G3353" s="396">
        <f t="shared" si="138"/>
        <v>100.89</v>
      </c>
      <c r="H3353" s="131"/>
    </row>
    <row r="3354" spans="1:8" ht="14.1" customHeight="1">
      <c r="A3354" s="131"/>
      <c r="B3354" s="131"/>
      <c r="C3354" s="131"/>
      <c r="D3354" s="131"/>
      <c r="E3354" s="131"/>
      <c r="F3354" s="412" t="s">
        <v>90</v>
      </c>
      <c r="G3354" s="396" t="s">
        <v>345</v>
      </c>
      <c r="H3354" s="131"/>
    </row>
    <row r="3355" spans="1:8" ht="14.1" customHeight="1">
      <c r="A3355" s="131"/>
      <c r="B3355" s="131"/>
      <c r="C3355" s="131"/>
      <c r="D3355" s="131"/>
      <c r="E3355" s="131"/>
      <c r="F3355" s="412" t="s">
        <v>92</v>
      </c>
      <c r="G3355" s="396" t="s">
        <v>346</v>
      </c>
      <c r="H3355" s="131"/>
    </row>
    <row r="3356" spans="1:8" ht="14.1" customHeight="1">
      <c r="A3356" s="413" t="s">
        <v>94</v>
      </c>
      <c r="B3356" s="130"/>
      <c r="C3356" s="131"/>
      <c r="D3356" s="131"/>
      <c r="E3356" s="131"/>
      <c r="F3356" s="412" t="s">
        <v>93</v>
      </c>
      <c r="G3356" s="396" t="s">
        <v>347</v>
      </c>
      <c r="H3356" s="131"/>
    </row>
    <row r="3357" spans="1:8" ht="14.1" customHeight="1">
      <c r="A3357" s="464" t="s">
        <v>95</v>
      </c>
      <c r="B3357" s="385" t="str">
        <f>G3356</f>
        <v>1.054,14</v>
      </c>
      <c r="C3357" s="131"/>
      <c r="D3357" s="131"/>
      <c r="E3357" s="131"/>
      <c r="F3357" s="132"/>
      <c r="G3357" s="132"/>
      <c r="H3357" s="131"/>
    </row>
    <row r="3358" spans="1:8" ht="14.1" customHeight="1">
      <c r="A3358" s="382" t="s">
        <v>2272</v>
      </c>
      <c r="B3358" s="381"/>
      <c r="C3358" s="131"/>
      <c r="D3358" s="131"/>
      <c r="E3358" s="131"/>
      <c r="F3358" s="132"/>
      <c r="G3358" s="132"/>
      <c r="H3358" s="131"/>
    </row>
    <row r="3359" spans="1:8" ht="14.1" customHeight="1">
      <c r="A3359" s="443" t="s">
        <v>2311</v>
      </c>
      <c r="B3359" s="381">
        <f>(B3357+B3358)*0.245</f>
        <v>258.26429999999999</v>
      </c>
      <c r="C3359" s="131"/>
      <c r="D3359" s="131"/>
      <c r="E3359" s="131"/>
      <c r="F3359" s="132"/>
      <c r="G3359" s="132"/>
      <c r="H3359" s="131"/>
    </row>
    <row r="3360" spans="1:8" ht="14.1" customHeight="1">
      <c r="A3360" s="464" t="s">
        <v>98</v>
      </c>
      <c r="B3360" s="386">
        <f>SUM(B3357:B3359)</f>
        <v>258.26429999999999</v>
      </c>
      <c r="C3360" s="131"/>
      <c r="D3360" s="131"/>
      <c r="E3360" s="131"/>
      <c r="F3360" s="132"/>
      <c r="G3360" s="132"/>
      <c r="H3360" s="131"/>
    </row>
    <row r="3361" spans="1:8">
      <c r="A3361" s="362"/>
      <c r="B3361" s="363"/>
      <c r="C3361" s="364"/>
      <c r="D3361" s="362"/>
      <c r="E3361" s="363"/>
      <c r="F3361" s="363"/>
      <c r="G3361" s="363"/>
      <c r="H3361" s="362"/>
    </row>
    <row r="3363" spans="1:8">
      <c r="A3363" s="122" t="s">
        <v>1287</v>
      </c>
    </row>
    <row r="3364" spans="1:8">
      <c r="A3364" s="390" t="s">
        <v>349</v>
      </c>
      <c r="B3364" s="131"/>
      <c r="C3364" s="131"/>
      <c r="D3364" s="131"/>
      <c r="E3364" s="131"/>
      <c r="F3364" s="131"/>
      <c r="G3364" s="131"/>
      <c r="H3364" s="131"/>
    </row>
    <row r="3365" spans="1:8" ht="18" customHeight="1">
      <c r="A3365" s="409" t="s">
        <v>350</v>
      </c>
      <c r="B3365" s="410"/>
      <c r="C3365" s="422" t="s">
        <v>1452</v>
      </c>
      <c r="D3365" s="131"/>
      <c r="E3365" s="131"/>
      <c r="F3365" s="131"/>
      <c r="G3365" s="131"/>
      <c r="H3365" s="131"/>
    </row>
    <row r="3366" spans="1:8" ht="20.399999999999999">
      <c r="A3366" s="309" t="s">
        <v>30</v>
      </c>
      <c r="B3366" s="354" t="s">
        <v>19</v>
      </c>
      <c r="C3366" s="293" t="s">
        <v>81</v>
      </c>
      <c r="D3366" s="294" t="s">
        <v>77</v>
      </c>
      <c r="E3366" s="294" t="s">
        <v>82</v>
      </c>
      <c r="F3366" s="295" t="s">
        <v>83</v>
      </c>
      <c r="G3366" s="355" t="s">
        <v>84</v>
      </c>
      <c r="H3366" s="131"/>
    </row>
    <row r="3367" spans="1:8">
      <c r="A3367" s="449" t="s">
        <v>351</v>
      </c>
      <c r="B3367" s="451" t="s">
        <v>352</v>
      </c>
      <c r="C3367" s="395" t="s">
        <v>87</v>
      </c>
      <c r="D3367" s="395" t="s">
        <v>112</v>
      </c>
      <c r="E3367" s="395" t="s">
        <v>353</v>
      </c>
      <c r="F3367" s="395">
        <v>41.23</v>
      </c>
      <c r="G3367" s="396">
        <f t="shared" ref="G3367:G3378" si="139">TRUNC(E3367*F3367,2)</f>
        <v>49.47</v>
      </c>
      <c r="H3367" s="131"/>
    </row>
    <row r="3368" spans="1:8">
      <c r="A3368" s="449" t="s">
        <v>354</v>
      </c>
      <c r="B3368" s="451" t="s">
        <v>355</v>
      </c>
      <c r="C3368" s="395" t="s">
        <v>87</v>
      </c>
      <c r="D3368" s="395" t="s">
        <v>100</v>
      </c>
      <c r="E3368" s="395" t="s">
        <v>356</v>
      </c>
      <c r="F3368" s="395">
        <v>3.13</v>
      </c>
      <c r="G3368" s="396">
        <f t="shared" si="139"/>
        <v>2</v>
      </c>
      <c r="H3368" s="131"/>
    </row>
    <row r="3369" spans="1:8" ht="20.399999999999999">
      <c r="A3369" s="449" t="s">
        <v>357</v>
      </c>
      <c r="B3369" s="451" t="s">
        <v>358</v>
      </c>
      <c r="C3369" s="395" t="s">
        <v>87</v>
      </c>
      <c r="D3369" s="395" t="s">
        <v>112</v>
      </c>
      <c r="E3369" s="395" t="s">
        <v>359</v>
      </c>
      <c r="F3369" s="395">
        <v>414.85</v>
      </c>
      <c r="G3369" s="396">
        <f t="shared" si="139"/>
        <v>26.55</v>
      </c>
      <c r="H3369" s="131"/>
    </row>
    <row r="3370" spans="1:8">
      <c r="A3370" s="449" t="s">
        <v>360</v>
      </c>
      <c r="B3370" s="451" t="s">
        <v>361</v>
      </c>
      <c r="C3370" s="395" t="s">
        <v>87</v>
      </c>
      <c r="D3370" s="395" t="s">
        <v>112</v>
      </c>
      <c r="E3370" s="395" t="s">
        <v>251</v>
      </c>
      <c r="F3370" s="395">
        <v>4.6399999999999997</v>
      </c>
      <c r="G3370" s="396">
        <f t="shared" si="139"/>
        <v>1.99</v>
      </c>
      <c r="H3370" s="131"/>
    </row>
    <row r="3371" spans="1:8">
      <c r="A3371" s="449" t="s">
        <v>362</v>
      </c>
      <c r="B3371" s="451" t="s">
        <v>363</v>
      </c>
      <c r="C3371" s="395" t="s">
        <v>87</v>
      </c>
      <c r="D3371" s="395" t="s">
        <v>112</v>
      </c>
      <c r="E3371" s="395">
        <v>0.98</v>
      </c>
      <c r="F3371" s="395">
        <v>508.49</v>
      </c>
      <c r="G3371" s="396">
        <f t="shared" si="139"/>
        <v>498.32</v>
      </c>
      <c r="H3371" s="131"/>
    </row>
    <row r="3372" spans="1:8">
      <c r="A3372" s="449" t="s">
        <v>364</v>
      </c>
      <c r="B3372" s="451" t="s">
        <v>365</v>
      </c>
      <c r="C3372" s="395" t="s">
        <v>87</v>
      </c>
      <c r="D3372" s="395" t="s">
        <v>100</v>
      </c>
      <c r="E3372" s="395" t="s">
        <v>366</v>
      </c>
      <c r="F3372" s="395">
        <v>8.0399999999999991</v>
      </c>
      <c r="G3372" s="396">
        <f t="shared" si="139"/>
        <v>21.22</v>
      </c>
      <c r="H3372" s="131"/>
    </row>
    <row r="3373" spans="1:8">
      <c r="A3373" s="449" t="s">
        <v>367</v>
      </c>
      <c r="B3373" s="451" t="s">
        <v>368</v>
      </c>
      <c r="C3373" s="395" t="s">
        <v>87</v>
      </c>
      <c r="D3373" s="395" t="s">
        <v>100</v>
      </c>
      <c r="E3373" s="395" t="s">
        <v>366</v>
      </c>
      <c r="F3373" s="395">
        <v>37.11</v>
      </c>
      <c r="G3373" s="396">
        <f t="shared" si="139"/>
        <v>97.97</v>
      </c>
      <c r="H3373" s="131"/>
    </row>
    <row r="3374" spans="1:8" ht="15" customHeight="1">
      <c r="A3374" s="449" t="s">
        <v>369</v>
      </c>
      <c r="B3374" s="451" t="s">
        <v>370</v>
      </c>
      <c r="C3374" s="395" t="s">
        <v>87</v>
      </c>
      <c r="D3374" s="395" t="s">
        <v>100</v>
      </c>
      <c r="E3374" s="395" t="s">
        <v>371</v>
      </c>
      <c r="F3374" s="395">
        <v>54.24</v>
      </c>
      <c r="G3374" s="396">
        <f t="shared" si="139"/>
        <v>182.24</v>
      </c>
      <c r="H3374" s="131"/>
    </row>
    <row r="3375" spans="1:8" ht="15" customHeight="1">
      <c r="A3375" s="449" t="s">
        <v>372</v>
      </c>
      <c r="B3375" s="451" t="s">
        <v>373</v>
      </c>
      <c r="C3375" s="395" t="s">
        <v>87</v>
      </c>
      <c r="D3375" s="395" t="s">
        <v>100</v>
      </c>
      <c r="E3375" s="395" t="s">
        <v>126</v>
      </c>
      <c r="F3375" s="406">
        <v>103.4</v>
      </c>
      <c r="G3375" s="396">
        <f t="shared" si="139"/>
        <v>82.72</v>
      </c>
      <c r="H3375" s="131"/>
    </row>
    <row r="3376" spans="1:8" ht="15" customHeight="1">
      <c r="A3376" s="449" t="s">
        <v>374</v>
      </c>
      <c r="B3376" s="451" t="s">
        <v>375</v>
      </c>
      <c r="C3376" s="395" t="s">
        <v>87</v>
      </c>
      <c r="D3376" s="395" t="s">
        <v>102</v>
      </c>
      <c r="E3376" s="395" t="s">
        <v>376</v>
      </c>
      <c r="F3376" s="395">
        <v>9.69</v>
      </c>
      <c r="G3376" s="396">
        <f t="shared" si="139"/>
        <v>12.4</v>
      </c>
      <c r="H3376" s="131"/>
    </row>
    <row r="3377" spans="1:8" ht="15" customHeight="1">
      <c r="A3377" s="449" t="s">
        <v>377</v>
      </c>
      <c r="B3377" s="451" t="s">
        <v>378</v>
      </c>
      <c r="C3377" s="395" t="s">
        <v>87</v>
      </c>
      <c r="D3377" s="395" t="s">
        <v>4</v>
      </c>
      <c r="E3377" s="395" t="s">
        <v>101</v>
      </c>
      <c r="F3377" s="406">
        <v>21.3</v>
      </c>
      <c r="G3377" s="396">
        <f t="shared" si="139"/>
        <v>21.3</v>
      </c>
      <c r="H3377" s="131"/>
    </row>
    <row r="3378" spans="1:8" ht="15" customHeight="1">
      <c r="A3378" s="449" t="s">
        <v>379</v>
      </c>
      <c r="B3378" s="451" t="s">
        <v>380</v>
      </c>
      <c r="C3378" s="395" t="s">
        <v>87</v>
      </c>
      <c r="D3378" s="395" t="s">
        <v>5</v>
      </c>
      <c r="E3378" s="395" t="s">
        <v>101</v>
      </c>
      <c r="F3378" s="395">
        <v>9.76</v>
      </c>
      <c r="G3378" s="396">
        <f t="shared" si="139"/>
        <v>9.76</v>
      </c>
      <c r="H3378" s="131"/>
    </row>
    <row r="3379" spans="1:8" ht="15" customHeight="1">
      <c r="A3379" s="410"/>
      <c r="B3379" s="410"/>
      <c r="C3379" s="410"/>
      <c r="D3379" s="410"/>
      <c r="E3379" s="410"/>
      <c r="F3379" s="412" t="s">
        <v>90</v>
      </c>
      <c r="G3379" s="445" t="s">
        <v>91</v>
      </c>
      <c r="H3379" s="131"/>
    </row>
    <row r="3380" spans="1:8" ht="15" customHeight="1">
      <c r="A3380" s="410"/>
      <c r="B3380" s="410"/>
      <c r="C3380" s="410"/>
      <c r="D3380" s="410"/>
      <c r="E3380" s="410"/>
      <c r="F3380" s="412" t="s">
        <v>92</v>
      </c>
      <c r="G3380" s="445" t="s">
        <v>91</v>
      </c>
      <c r="H3380" s="131"/>
    </row>
    <row r="3381" spans="1:8" ht="15" customHeight="1">
      <c r="A3381" s="413" t="s">
        <v>94</v>
      </c>
      <c r="B3381" s="131"/>
      <c r="C3381" s="131"/>
      <c r="D3381" s="131"/>
      <c r="E3381" s="131"/>
      <c r="F3381" s="412" t="s">
        <v>93</v>
      </c>
      <c r="G3381" s="468">
        <f>SUM(G3367:G3378)</f>
        <v>1005.9399999999999</v>
      </c>
      <c r="H3381" s="131"/>
    </row>
    <row r="3382" spans="1:8" ht="15" customHeight="1">
      <c r="A3382" s="464" t="s">
        <v>95</v>
      </c>
      <c r="B3382" s="466">
        <f>G3381</f>
        <v>1005.9399999999999</v>
      </c>
      <c r="C3382" s="131"/>
      <c r="D3382" s="131"/>
      <c r="E3382" s="131"/>
      <c r="F3382" s="132"/>
      <c r="G3382" s="132"/>
      <c r="H3382" s="131"/>
    </row>
    <row r="3383" spans="1:8" ht="15" customHeight="1">
      <c r="A3383" s="382" t="s">
        <v>2272</v>
      </c>
      <c r="B3383" s="381"/>
      <c r="C3383" s="131"/>
      <c r="D3383" s="131"/>
      <c r="E3383" s="131"/>
      <c r="F3383" s="132"/>
      <c r="G3383" s="132"/>
      <c r="H3383" s="131"/>
    </row>
    <row r="3384" spans="1:8" ht="15" customHeight="1">
      <c r="A3384" s="443" t="s">
        <v>2311</v>
      </c>
      <c r="B3384" s="381">
        <f>(B3382+B3383)*0.245</f>
        <v>246.45529999999999</v>
      </c>
      <c r="C3384" s="131"/>
      <c r="D3384" s="131"/>
      <c r="E3384" s="131"/>
      <c r="F3384" s="132"/>
      <c r="G3384" s="132"/>
      <c r="H3384" s="131"/>
    </row>
    <row r="3385" spans="1:8" ht="15" customHeight="1">
      <c r="A3385" s="464" t="s">
        <v>98</v>
      </c>
      <c r="B3385" s="467">
        <f>SUM(B3382:B3384)</f>
        <v>1252.3952999999999</v>
      </c>
      <c r="C3385" s="131"/>
      <c r="D3385" s="131"/>
      <c r="E3385" s="131"/>
      <c r="F3385" s="132"/>
      <c r="G3385" s="132"/>
      <c r="H3385" s="131"/>
    </row>
    <row r="3386" spans="1:8" ht="10.8" thickBot="1">
      <c r="A3386" s="469"/>
      <c r="B3386" s="469"/>
      <c r="C3386" s="470"/>
      <c r="D3386" s="469"/>
      <c r="E3386" s="471"/>
      <c r="F3386" s="471"/>
      <c r="G3386" s="471"/>
      <c r="H3386" s="362"/>
    </row>
    <row r="3387" spans="1:8" ht="12" customHeight="1"/>
    <row r="3388" spans="1:8" ht="12" customHeight="1">
      <c r="A3388" s="122" t="s">
        <v>1287</v>
      </c>
    </row>
    <row r="3389" spans="1:8">
      <c r="A3389" s="1202" t="s">
        <v>399</v>
      </c>
      <c r="B3389" s="1203"/>
      <c r="C3389" s="1203"/>
      <c r="D3389" s="1203"/>
      <c r="E3389" s="1203"/>
      <c r="F3389" s="1203"/>
      <c r="G3389" s="1203"/>
      <c r="H3389" s="1203"/>
    </row>
    <row r="3390" spans="1:8" ht="18" customHeight="1">
      <c r="A3390" s="420" t="s">
        <v>400</v>
      </c>
      <c r="B3390" s="130"/>
      <c r="C3390" s="130"/>
      <c r="D3390" s="420" t="s">
        <v>1452</v>
      </c>
      <c r="E3390" s="130"/>
      <c r="F3390" s="130"/>
      <c r="G3390" s="130"/>
      <c r="H3390" s="130"/>
    </row>
    <row r="3391" spans="1:8" ht="25.5" customHeight="1">
      <c r="A3391" s="309" t="s">
        <v>30</v>
      </c>
      <c r="B3391" s="354" t="s">
        <v>19</v>
      </c>
      <c r="C3391" s="293" t="s">
        <v>81</v>
      </c>
      <c r="D3391" s="294" t="s">
        <v>77</v>
      </c>
      <c r="E3391" s="294" t="s">
        <v>82</v>
      </c>
      <c r="F3391" s="295" t="s">
        <v>83</v>
      </c>
      <c r="G3391" s="355" t="s">
        <v>84</v>
      </c>
    </row>
    <row r="3392" spans="1:8" ht="14.1" customHeight="1">
      <c r="A3392" s="448" t="s">
        <v>401</v>
      </c>
      <c r="B3392" s="463" t="s">
        <v>402</v>
      </c>
      <c r="C3392" s="438" t="s">
        <v>104</v>
      </c>
      <c r="D3392" s="438" t="s">
        <v>105</v>
      </c>
      <c r="E3392" s="438" t="s">
        <v>149</v>
      </c>
      <c r="F3392" s="438" t="s">
        <v>403</v>
      </c>
      <c r="G3392" s="441">
        <f t="shared" ref="G3392:G3396" si="140">TRUNC(E3392*F3392,2)</f>
        <v>42.65</v>
      </c>
      <c r="H3392" s="130"/>
    </row>
    <row r="3393" spans="1:8" ht="14.1" customHeight="1">
      <c r="A3393" s="448" t="s">
        <v>404</v>
      </c>
      <c r="B3393" s="463" t="s">
        <v>405</v>
      </c>
      <c r="C3393" s="438" t="s">
        <v>104</v>
      </c>
      <c r="D3393" s="438" t="s">
        <v>105</v>
      </c>
      <c r="E3393" s="438" t="s">
        <v>149</v>
      </c>
      <c r="F3393" s="438" t="s">
        <v>148</v>
      </c>
      <c r="G3393" s="441">
        <f t="shared" si="140"/>
        <v>32.25</v>
      </c>
      <c r="H3393" s="130"/>
    </row>
    <row r="3394" spans="1:8" ht="14.1" customHeight="1">
      <c r="A3394" s="448" t="s">
        <v>406</v>
      </c>
      <c r="B3394" s="463" t="s">
        <v>407</v>
      </c>
      <c r="C3394" s="438" t="s">
        <v>87</v>
      </c>
      <c r="D3394" s="438" t="s">
        <v>1</v>
      </c>
      <c r="E3394" s="438" t="s">
        <v>101</v>
      </c>
      <c r="F3394" s="438" t="s">
        <v>408</v>
      </c>
      <c r="G3394" s="441">
        <f t="shared" si="140"/>
        <v>112.47</v>
      </c>
      <c r="H3394" s="130"/>
    </row>
    <row r="3395" spans="1:8" ht="14.1" customHeight="1">
      <c r="A3395" s="448" t="s">
        <v>409</v>
      </c>
      <c r="B3395" s="463" t="s">
        <v>410</v>
      </c>
      <c r="C3395" s="438" t="s">
        <v>87</v>
      </c>
      <c r="D3395" s="438" t="s">
        <v>5</v>
      </c>
      <c r="E3395" s="438" t="s">
        <v>101</v>
      </c>
      <c r="F3395" s="438" t="s">
        <v>411</v>
      </c>
      <c r="G3395" s="441">
        <f t="shared" si="140"/>
        <v>47.48</v>
      </c>
      <c r="H3395" s="130"/>
    </row>
    <row r="3396" spans="1:8" ht="14.1" customHeight="1">
      <c r="A3396" s="448" t="s">
        <v>412</v>
      </c>
      <c r="B3396" s="463" t="s">
        <v>413</v>
      </c>
      <c r="C3396" s="438" t="s">
        <v>87</v>
      </c>
      <c r="D3396" s="438" t="s">
        <v>5</v>
      </c>
      <c r="E3396" s="438" t="s">
        <v>101</v>
      </c>
      <c r="F3396" s="438" t="s">
        <v>414</v>
      </c>
      <c r="G3396" s="441">
        <f t="shared" si="140"/>
        <v>81.150000000000006</v>
      </c>
      <c r="H3396" s="130"/>
    </row>
    <row r="3397" spans="1:8" ht="14.1" customHeight="1">
      <c r="A3397" s="130"/>
      <c r="B3397" s="130"/>
      <c r="C3397" s="130"/>
      <c r="D3397" s="130"/>
      <c r="E3397" s="130"/>
      <c r="F3397" s="448" t="s">
        <v>90</v>
      </c>
      <c r="G3397" s="441" t="s">
        <v>415</v>
      </c>
      <c r="H3397" s="130"/>
    </row>
    <row r="3398" spans="1:8" ht="14.1" customHeight="1">
      <c r="A3398" s="130"/>
      <c r="B3398" s="130"/>
      <c r="C3398" s="130"/>
      <c r="D3398" s="130"/>
      <c r="E3398" s="130"/>
      <c r="F3398" s="448" t="s">
        <v>92</v>
      </c>
      <c r="G3398" s="441" t="s">
        <v>416</v>
      </c>
      <c r="H3398" s="130"/>
    </row>
    <row r="3399" spans="1:8" ht="14.1" customHeight="1">
      <c r="A3399" s="413" t="s">
        <v>94</v>
      </c>
      <c r="B3399" s="131"/>
      <c r="C3399" s="130"/>
      <c r="D3399" s="130"/>
      <c r="E3399" s="130"/>
      <c r="F3399" s="448" t="s">
        <v>93</v>
      </c>
      <c r="G3399" s="441" t="s">
        <v>417</v>
      </c>
      <c r="H3399" s="130"/>
    </row>
    <row r="3400" spans="1:8" ht="14.1" customHeight="1">
      <c r="A3400" s="464" t="s">
        <v>95</v>
      </c>
      <c r="B3400" s="466" t="str">
        <f>G3399</f>
        <v>316,00</v>
      </c>
      <c r="C3400" s="130"/>
      <c r="D3400" s="130"/>
      <c r="E3400" s="130"/>
      <c r="F3400" s="130"/>
      <c r="G3400" s="130"/>
      <c r="H3400" s="130"/>
    </row>
    <row r="3401" spans="1:8" ht="14.1" customHeight="1">
      <c r="A3401" s="382" t="s">
        <v>2272</v>
      </c>
      <c r="B3401" s="381"/>
      <c r="C3401" s="130"/>
      <c r="D3401" s="130"/>
      <c r="E3401" s="130"/>
      <c r="F3401" s="130"/>
      <c r="G3401" s="130"/>
      <c r="H3401" s="130"/>
    </row>
    <row r="3402" spans="1:8" ht="14.1" customHeight="1">
      <c r="A3402" s="443" t="s">
        <v>2311</v>
      </c>
      <c r="B3402" s="381">
        <f>(B3400+B3401)*0.245</f>
        <v>77.42</v>
      </c>
      <c r="C3402" s="130"/>
      <c r="D3402" s="130"/>
      <c r="E3402" s="130"/>
      <c r="F3402" s="130"/>
      <c r="G3402" s="130"/>
      <c r="H3402" s="130"/>
    </row>
    <row r="3403" spans="1:8" ht="14.1" customHeight="1">
      <c r="A3403" s="464" t="s">
        <v>98</v>
      </c>
      <c r="B3403" s="467">
        <f>SUM(B3400:B3402)</f>
        <v>77.42</v>
      </c>
      <c r="C3403" s="130"/>
      <c r="D3403" s="130"/>
      <c r="E3403" s="130"/>
      <c r="F3403" s="130"/>
      <c r="G3403" s="130"/>
      <c r="H3403" s="130"/>
    </row>
    <row r="3404" spans="1:8" ht="10.5" customHeight="1">
      <c r="A3404" s="472"/>
      <c r="B3404" s="473"/>
      <c r="C3404" s="418"/>
      <c r="D3404" s="418"/>
      <c r="E3404" s="418"/>
      <c r="F3404" s="418"/>
      <c r="G3404" s="418"/>
      <c r="H3404" s="418"/>
    </row>
    <row r="3405" spans="1:8">
      <c r="A3405" s="130"/>
      <c r="B3405" s="130"/>
      <c r="C3405" s="130"/>
      <c r="D3405" s="130"/>
      <c r="E3405" s="130"/>
      <c r="F3405" s="130"/>
      <c r="G3405" s="130"/>
      <c r="H3405" s="130"/>
    </row>
    <row r="3406" spans="1:8">
      <c r="A3406" s="128"/>
      <c r="D3406" s="289"/>
      <c r="E3406" s="289"/>
      <c r="F3406" s="302"/>
      <c r="G3406" s="302"/>
      <c r="H3406" s="130"/>
    </row>
    <row r="3407" spans="1:8" ht="20.399999999999999">
      <c r="A3407" s="141" t="s">
        <v>135</v>
      </c>
      <c r="B3407" s="141" t="s">
        <v>390</v>
      </c>
      <c r="C3407" s="141"/>
      <c r="D3407" s="145" t="s">
        <v>391</v>
      </c>
      <c r="E3407" s="146"/>
      <c r="F3407" s="146"/>
      <c r="G3407" s="1243"/>
      <c r="H3407" s="1244"/>
    </row>
    <row r="3408" spans="1:8" ht="20.399999999999999">
      <c r="A3408" s="309" t="s">
        <v>30</v>
      </c>
      <c r="B3408" s="354" t="s">
        <v>19</v>
      </c>
      <c r="C3408" s="293" t="s">
        <v>81</v>
      </c>
      <c r="D3408" s="294" t="s">
        <v>77</v>
      </c>
      <c r="E3408" s="294" t="s">
        <v>82</v>
      </c>
      <c r="F3408" s="295" t="s">
        <v>83</v>
      </c>
      <c r="G3408" s="355" t="s">
        <v>84</v>
      </c>
    </row>
    <row r="3409" spans="1:8" ht="20.25" customHeight="1">
      <c r="A3409" s="142" t="s">
        <v>397</v>
      </c>
      <c r="B3409" s="142" t="s">
        <v>279</v>
      </c>
      <c r="C3409" s="142"/>
      <c r="D3409" s="143" t="s">
        <v>383</v>
      </c>
      <c r="E3409" s="147">
        <v>0.2</v>
      </c>
      <c r="F3409" s="144" t="s">
        <v>384</v>
      </c>
      <c r="G3409" s="1242">
        <f>E3409*F3409</f>
        <v>5.5340000000000007</v>
      </c>
      <c r="H3409" s="1242"/>
    </row>
    <row r="3410" spans="1:8" ht="24" customHeight="1">
      <c r="A3410" s="142" t="s">
        <v>398</v>
      </c>
      <c r="B3410" s="142" t="s">
        <v>385</v>
      </c>
      <c r="C3410" s="142"/>
      <c r="D3410" s="143" t="s">
        <v>383</v>
      </c>
      <c r="E3410" s="147">
        <v>0.2</v>
      </c>
      <c r="F3410" s="144" t="s">
        <v>386</v>
      </c>
      <c r="G3410" s="1242">
        <f t="shared" ref="G3410:G3415" si="141">E3410*F3410</f>
        <v>4.9860000000000007</v>
      </c>
      <c r="H3410" s="1242"/>
    </row>
    <row r="3411" spans="1:8" ht="20.25" customHeight="1">
      <c r="A3411" s="142" t="s">
        <v>464</v>
      </c>
      <c r="B3411" s="142" t="s">
        <v>392</v>
      </c>
      <c r="C3411" s="142"/>
      <c r="D3411" s="143" t="s">
        <v>391</v>
      </c>
      <c r="E3411" s="147">
        <v>1</v>
      </c>
      <c r="F3411" s="144" t="s">
        <v>276</v>
      </c>
      <c r="G3411" s="1242">
        <f t="shared" si="141"/>
        <v>15.1</v>
      </c>
      <c r="H3411" s="1242"/>
    </row>
    <row r="3412" spans="1:8" ht="21" customHeight="1">
      <c r="A3412" s="142" t="s">
        <v>473</v>
      </c>
      <c r="B3412" s="142" t="s">
        <v>393</v>
      </c>
      <c r="C3412" s="142"/>
      <c r="D3412" s="143" t="s">
        <v>381</v>
      </c>
      <c r="E3412" s="147">
        <v>0.2</v>
      </c>
      <c r="F3412" s="144" t="s">
        <v>394</v>
      </c>
      <c r="G3412" s="1242">
        <f t="shared" si="141"/>
        <v>0.70000000000000007</v>
      </c>
      <c r="H3412" s="1242"/>
    </row>
    <row r="3413" spans="1:8" ht="24.75" customHeight="1">
      <c r="A3413" s="142" t="s">
        <v>474</v>
      </c>
      <c r="B3413" s="142" t="s">
        <v>395</v>
      </c>
      <c r="C3413" s="142"/>
      <c r="D3413" s="143" t="s">
        <v>381</v>
      </c>
      <c r="E3413" s="144">
        <v>0.28000000000000003</v>
      </c>
      <c r="F3413" s="144" t="s">
        <v>396</v>
      </c>
      <c r="G3413" s="1242">
        <f t="shared" si="141"/>
        <v>0.34440000000000004</v>
      </c>
      <c r="H3413" s="1242"/>
    </row>
    <row r="3414" spans="1:8" ht="18.75" customHeight="1">
      <c r="A3414" s="142" t="s">
        <v>382</v>
      </c>
      <c r="B3414" s="142" t="s">
        <v>388</v>
      </c>
      <c r="C3414" s="142"/>
      <c r="D3414" s="143" t="s">
        <v>381</v>
      </c>
      <c r="E3414" s="144">
        <v>0.28000000000000003</v>
      </c>
      <c r="F3414" s="144" t="s">
        <v>389</v>
      </c>
      <c r="G3414" s="1242">
        <f t="shared" si="141"/>
        <v>9.240000000000001E-2</v>
      </c>
      <c r="H3414" s="1242"/>
    </row>
    <row r="3415" spans="1:8" ht="19.5" customHeight="1">
      <c r="A3415" s="142" t="s">
        <v>382</v>
      </c>
      <c r="B3415" s="142" t="s">
        <v>387</v>
      </c>
      <c r="C3415" s="142"/>
      <c r="D3415" s="143" t="s">
        <v>381</v>
      </c>
      <c r="E3415" s="144">
        <v>0.28000000000000003</v>
      </c>
      <c r="F3415" s="144" t="s">
        <v>179</v>
      </c>
      <c r="G3415" s="1242">
        <f t="shared" si="141"/>
        <v>1.4000000000000002E-2</v>
      </c>
      <c r="H3415" s="1242"/>
    </row>
    <row r="3416" spans="1:8" s="148" customFormat="1">
      <c r="B3416" s="149"/>
      <c r="C3416" s="150"/>
      <c r="E3416" s="149"/>
      <c r="F3416" s="149"/>
      <c r="G3416" s="149" t="s">
        <v>448</v>
      </c>
      <c r="H3416" s="151">
        <f>SUM(G3409:H3415)</f>
        <v>26.770800000000001</v>
      </c>
    </row>
    <row r="3417" spans="1:8" s="148" customFormat="1">
      <c r="B3417" s="149"/>
      <c r="C3417" s="150"/>
      <c r="E3417" s="149"/>
      <c r="F3417" s="149"/>
      <c r="G3417" s="149" t="s">
        <v>449</v>
      </c>
      <c r="H3417" s="151">
        <f>SUM(G3409:H3410)*0.7237</f>
        <v>7.6133240000000013</v>
      </c>
    </row>
    <row r="3418" spans="1:8">
      <c r="G3418" s="149" t="s">
        <v>450</v>
      </c>
      <c r="H3418" s="152">
        <f>(H3416+H3417)*0.2457</f>
        <v>8.4481792668000004</v>
      </c>
    </row>
    <row r="3419" spans="1:8">
      <c r="G3419" s="149" t="s">
        <v>451</v>
      </c>
      <c r="H3419" s="151">
        <f>SUM(H3416:H3418)</f>
        <v>42.832303266799997</v>
      </c>
    </row>
    <row r="3422" spans="1:8" ht="20.399999999999999">
      <c r="A3422" s="141" t="s">
        <v>135</v>
      </c>
      <c r="B3422" s="141" t="s">
        <v>418</v>
      </c>
      <c r="C3422" s="141"/>
      <c r="D3422" s="145" t="s">
        <v>391</v>
      </c>
      <c r="E3422" s="146"/>
      <c r="F3422" s="146"/>
      <c r="G3422" s="1243"/>
      <c r="H3422" s="1244"/>
    </row>
    <row r="3423" spans="1:8" ht="20.399999999999999">
      <c r="A3423" s="142" t="s">
        <v>463</v>
      </c>
      <c r="B3423" s="142" t="s">
        <v>419</v>
      </c>
      <c r="C3423" s="142"/>
      <c r="D3423" s="143" t="s">
        <v>381</v>
      </c>
      <c r="E3423" s="147">
        <v>0.12</v>
      </c>
      <c r="F3423" s="144" t="s">
        <v>420</v>
      </c>
      <c r="G3423" s="1242">
        <f>E3423*F3423</f>
        <v>14.76</v>
      </c>
      <c r="H3423" s="1246"/>
    </row>
    <row r="3424" spans="1:8" ht="14.4">
      <c r="A3424" s="142" t="s">
        <v>397</v>
      </c>
      <c r="B3424" s="142" t="s">
        <v>279</v>
      </c>
      <c r="C3424" s="142"/>
      <c r="D3424" s="143" t="s">
        <v>383</v>
      </c>
      <c r="E3424" s="147">
        <v>0.56000000000000005</v>
      </c>
      <c r="F3424" s="144" t="s">
        <v>384</v>
      </c>
      <c r="G3424" s="1242">
        <f t="shared" ref="G3424:G3434" si="142">E3424*F3424</f>
        <v>15.495200000000002</v>
      </c>
      <c r="H3424" s="1246"/>
    </row>
    <row r="3425" spans="1:8" ht="14.4">
      <c r="A3425" s="142" t="s">
        <v>398</v>
      </c>
      <c r="B3425" s="142" t="s">
        <v>385</v>
      </c>
      <c r="C3425" s="142"/>
      <c r="D3425" s="143" t="s">
        <v>383</v>
      </c>
      <c r="E3425" s="147">
        <v>0.56000000000000005</v>
      </c>
      <c r="F3425" s="144" t="s">
        <v>386</v>
      </c>
      <c r="G3425" s="1242">
        <f t="shared" si="142"/>
        <v>13.960800000000001</v>
      </c>
      <c r="H3425" s="1246"/>
    </row>
    <row r="3426" spans="1:8" ht="14.4">
      <c r="A3426" s="142" t="s">
        <v>464</v>
      </c>
      <c r="B3426" s="142" t="s">
        <v>392</v>
      </c>
      <c r="C3426" s="142"/>
      <c r="D3426" s="143" t="s">
        <v>391</v>
      </c>
      <c r="E3426" s="147">
        <v>1.05</v>
      </c>
      <c r="F3426" s="144" t="s">
        <v>276</v>
      </c>
      <c r="G3426" s="1242">
        <f t="shared" si="142"/>
        <v>15.855</v>
      </c>
      <c r="H3426" s="1246"/>
    </row>
    <row r="3427" spans="1:8" ht="14.4">
      <c r="A3427" s="142" t="s">
        <v>465</v>
      </c>
      <c r="B3427" s="142" t="s">
        <v>421</v>
      </c>
      <c r="C3427" s="142"/>
      <c r="D3427" s="143" t="s">
        <v>391</v>
      </c>
      <c r="E3427" s="144">
        <v>0.6</v>
      </c>
      <c r="F3427" s="144" t="s">
        <v>422</v>
      </c>
      <c r="G3427" s="1242">
        <f t="shared" si="142"/>
        <v>1.9259999999999999</v>
      </c>
      <c r="H3427" s="1246"/>
    </row>
    <row r="3428" spans="1:8" ht="20.399999999999999">
      <c r="A3428" s="142" t="s">
        <v>466</v>
      </c>
      <c r="B3428" s="142" t="s">
        <v>423</v>
      </c>
      <c r="C3428" s="142"/>
      <c r="D3428" s="143" t="s">
        <v>381</v>
      </c>
      <c r="E3428" s="144">
        <v>0.18</v>
      </c>
      <c r="F3428" s="144" t="s">
        <v>424</v>
      </c>
      <c r="G3428" s="1242">
        <f t="shared" si="142"/>
        <v>0.47160000000000002</v>
      </c>
      <c r="H3428" s="1246"/>
    </row>
    <row r="3429" spans="1:8" ht="20.399999999999999">
      <c r="A3429" s="142" t="s">
        <v>467</v>
      </c>
      <c r="B3429" s="142" t="s">
        <v>425</v>
      </c>
      <c r="C3429" s="142"/>
      <c r="D3429" s="143" t="s">
        <v>381</v>
      </c>
      <c r="E3429" s="144">
        <v>0.82</v>
      </c>
      <c r="F3429" s="144" t="s">
        <v>426</v>
      </c>
      <c r="G3429" s="1242">
        <f t="shared" si="142"/>
        <v>0.83639999999999992</v>
      </c>
      <c r="H3429" s="1246"/>
    </row>
    <row r="3430" spans="1:8" ht="14.4">
      <c r="A3430" s="142" t="s">
        <v>468</v>
      </c>
      <c r="B3430" s="142" t="s">
        <v>427</v>
      </c>
      <c r="C3430" s="142"/>
      <c r="D3430" s="143" t="s">
        <v>381</v>
      </c>
      <c r="E3430" s="144">
        <v>0.55000000000000004</v>
      </c>
      <c r="F3430" s="144" t="s">
        <v>428</v>
      </c>
      <c r="G3430" s="1242">
        <f t="shared" si="142"/>
        <v>0.57750000000000012</v>
      </c>
      <c r="H3430" s="1246"/>
    </row>
    <row r="3431" spans="1:8" ht="20.399999999999999">
      <c r="A3431" s="142" t="s">
        <v>469</v>
      </c>
      <c r="B3431" s="142" t="s">
        <v>429</v>
      </c>
      <c r="C3431" s="142"/>
      <c r="D3431" s="143" t="s">
        <v>381</v>
      </c>
      <c r="E3431" s="144">
        <v>0.12</v>
      </c>
      <c r="F3431" s="144" t="s">
        <v>430</v>
      </c>
      <c r="G3431" s="1242">
        <f t="shared" si="142"/>
        <v>1.2552000000000001</v>
      </c>
      <c r="H3431" s="1246"/>
    </row>
    <row r="3432" spans="1:8" ht="20.399999999999999">
      <c r="A3432" s="142" t="s">
        <v>470</v>
      </c>
      <c r="B3432" s="142" t="s">
        <v>431</v>
      </c>
      <c r="C3432" s="142"/>
      <c r="D3432" s="143" t="s">
        <v>381</v>
      </c>
      <c r="E3432" s="144">
        <v>0.12</v>
      </c>
      <c r="F3432" s="144" t="s">
        <v>432</v>
      </c>
      <c r="G3432" s="1242">
        <f t="shared" si="142"/>
        <v>2.1</v>
      </c>
      <c r="H3432" s="1246"/>
    </row>
    <row r="3433" spans="1:8" ht="20.399999999999999">
      <c r="A3433" s="142" t="s">
        <v>471</v>
      </c>
      <c r="B3433" s="142" t="s">
        <v>433</v>
      </c>
      <c r="C3433" s="142"/>
      <c r="D3433" s="143" t="s">
        <v>381</v>
      </c>
      <c r="E3433" s="144">
        <v>0.12</v>
      </c>
      <c r="F3433" s="144" t="s">
        <v>434</v>
      </c>
      <c r="G3433" s="1242">
        <f t="shared" si="142"/>
        <v>9.3995999999999995</v>
      </c>
      <c r="H3433" s="1246"/>
    </row>
    <row r="3434" spans="1:8" ht="20.399999999999999">
      <c r="A3434" s="142" t="s">
        <v>472</v>
      </c>
      <c r="B3434" s="142" t="s">
        <v>435</v>
      </c>
      <c r="C3434" s="142"/>
      <c r="D3434" s="143" t="s">
        <v>381</v>
      </c>
      <c r="E3434" s="144">
        <v>0.8</v>
      </c>
      <c r="F3434" s="144" t="s">
        <v>436</v>
      </c>
      <c r="G3434" s="1242">
        <f t="shared" si="142"/>
        <v>0.32800000000000001</v>
      </c>
      <c r="H3434" s="1246"/>
    </row>
    <row r="3436" spans="1:8">
      <c r="G3436" s="149" t="s">
        <v>448</v>
      </c>
      <c r="H3436" s="151">
        <f>SUM(G3423:H3434)</f>
        <v>76.965299999999985</v>
      </c>
    </row>
    <row r="3437" spans="1:8">
      <c r="G3437" s="149" t="s">
        <v>449</v>
      </c>
      <c r="H3437" s="151">
        <f>SUM(G3424:H3425)</f>
        <v>29.456000000000003</v>
      </c>
    </row>
    <row r="3438" spans="1:8">
      <c r="G3438" s="149" t="s">
        <v>450</v>
      </c>
      <c r="H3438" s="152">
        <f>SUM(H3436:H3437)*0.2457</f>
        <v>26.147713409999998</v>
      </c>
    </row>
    <row r="3439" spans="1:8">
      <c r="G3439" s="149" t="s">
        <v>451</v>
      </c>
      <c r="H3439" s="151">
        <f>SUM(H3436:H3438)</f>
        <v>132.56901341</v>
      </c>
    </row>
    <row r="3441" spans="1:8" ht="20.399999999999999">
      <c r="A3441" s="141" t="s">
        <v>135</v>
      </c>
      <c r="B3441" s="141" t="s">
        <v>437</v>
      </c>
      <c r="C3441" s="141"/>
      <c r="D3441" s="145" t="s">
        <v>391</v>
      </c>
      <c r="E3441" s="146"/>
      <c r="F3441" s="146"/>
      <c r="G3441" s="1243"/>
      <c r="H3441" s="1244"/>
    </row>
    <row r="3442" spans="1:8" ht="20.399999999999999">
      <c r="A3442" s="142" t="s">
        <v>447</v>
      </c>
      <c r="B3442" s="142" t="s">
        <v>446</v>
      </c>
      <c r="C3442" s="142"/>
      <c r="D3442" s="143" t="s">
        <v>438</v>
      </c>
      <c r="E3442" s="144">
        <v>0.15</v>
      </c>
      <c r="F3442" s="144">
        <v>79.989999999999995</v>
      </c>
      <c r="G3442" s="1242">
        <f>E3442*F3442</f>
        <v>11.998499999999998</v>
      </c>
      <c r="H3442" s="1246"/>
    </row>
    <row r="3443" spans="1:8" ht="20.399999999999999">
      <c r="A3443" s="142" t="s">
        <v>443</v>
      </c>
      <c r="B3443" s="142" t="s">
        <v>439</v>
      </c>
      <c r="C3443" s="142"/>
      <c r="D3443" s="143" t="s">
        <v>438</v>
      </c>
      <c r="E3443" s="144">
        <v>0.13</v>
      </c>
      <c r="F3443" s="144" t="s">
        <v>440</v>
      </c>
      <c r="G3443" s="1242">
        <f t="shared" ref="G3443:G3446" si="143">E3443*F3443</f>
        <v>9.1338000000000008</v>
      </c>
      <c r="H3443" s="1246"/>
    </row>
    <row r="3444" spans="1:8" ht="14.4">
      <c r="A3444" s="142" t="s">
        <v>397</v>
      </c>
      <c r="B3444" s="142" t="s">
        <v>279</v>
      </c>
      <c r="C3444" s="142"/>
      <c r="D3444" s="143" t="s">
        <v>383</v>
      </c>
      <c r="E3444" s="147">
        <v>0.2</v>
      </c>
      <c r="F3444" s="144" t="s">
        <v>384</v>
      </c>
      <c r="G3444" s="1242">
        <f t="shared" si="143"/>
        <v>5.5340000000000007</v>
      </c>
      <c r="H3444" s="1246"/>
    </row>
    <row r="3445" spans="1:8" ht="14.4">
      <c r="A3445" s="142" t="s">
        <v>444</v>
      </c>
      <c r="B3445" s="142" t="s">
        <v>385</v>
      </c>
      <c r="C3445" s="142"/>
      <c r="D3445" s="143" t="s">
        <v>383</v>
      </c>
      <c r="E3445" s="147">
        <v>0.2</v>
      </c>
      <c r="F3445" s="144" t="s">
        <v>386</v>
      </c>
      <c r="G3445" s="1242">
        <f t="shared" si="143"/>
        <v>4.9860000000000007</v>
      </c>
      <c r="H3445" s="1246"/>
    </row>
    <row r="3446" spans="1:8" ht="14.4">
      <c r="A3446" s="142" t="s">
        <v>445</v>
      </c>
      <c r="B3446" s="142" t="s">
        <v>441</v>
      </c>
      <c r="C3446" s="142"/>
      <c r="D3446" s="143" t="s">
        <v>391</v>
      </c>
      <c r="E3446" s="144">
        <v>1.05</v>
      </c>
      <c r="F3446" s="144" t="s">
        <v>442</v>
      </c>
      <c r="G3446" s="1242">
        <f t="shared" si="143"/>
        <v>22.091999999999999</v>
      </c>
      <c r="H3446" s="1246"/>
    </row>
    <row r="3448" spans="1:8">
      <c r="G3448" s="149" t="s">
        <v>448</v>
      </c>
      <c r="H3448" s="151">
        <f>SUM(G3442:H3446)</f>
        <v>53.744299999999996</v>
      </c>
    </row>
    <row r="3449" spans="1:8">
      <c r="G3449" s="149" t="s">
        <v>449</v>
      </c>
      <c r="H3449" s="151">
        <f>SUM(G3444:H3445)</f>
        <v>10.520000000000001</v>
      </c>
    </row>
    <row r="3450" spans="1:8">
      <c r="G3450" s="149" t="s">
        <v>450</v>
      </c>
      <c r="H3450" s="152">
        <f>SUM(H3448:H3449)*0.2457</f>
        <v>15.789738509999998</v>
      </c>
    </row>
    <row r="3451" spans="1:8">
      <c r="G3451" s="149" t="s">
        <v>451</v>
      </c>
      <c r="H3451" s="151">
        <f>SUM(H3448:H3450)</f>
        <v>80.054038509999984</v>
      </c>
    </row>
    <row r="3453" spans="1:8" ht="20.399999999999999">
      <c r="A3453" s="141" t="s">
        <v>135</v>
      </c>
      <c r="B3453" s="141" t="s">
        <v>452</v>
      </c>
      <c r="C3453" s="141"/>
      <c r="D3453" s="145" t="s">
        <v>391</v>
      </c>
      <c r="E3453" s="146"/>
      <c r="F3453" s="146"/>
      <c r="G3453" s="1243"/>
      <c r="H3453" s="1244"/>
    </row>
    <row r="3454" spans="1:8" ht="20.399999999999999">
      <c r="A3454" s="142" t="s">
        <v>459</v>
      </c>
      <c r="B3454" s="142" t="s">
        <v>453</v>
      </c>
      <c r="C3454" s="142"/>
      <c r="D3454" s="143" t="s">
        <v>381</v>
      </c>
      <c r="E3454" s="144">
        <v>0.12</v>
      </c>
      <c r="F3454" s="144" t="s">
        <v>454</v>
      </c>
      <c r="G3454" s="1242">
        <f>E3454*F3454</f>
        <v>16.8</v>
      </c>
      <c r="H3454" s="1246"/>
    </row>
    <row r="3455" spans="1:8" ht="20.399999999999999">
      <c r="A3455" s="142" t="s">
        <v>460</v>
      </c>
      <c r="B3455" s="142" t="s">
        <v>455</v>
      </c>
      <c r="C3455" s="142"/>
      <c r="D3455" s="143" t="s">
        <v>381</v>
      </c>
      <c r="E3455" s="147">
        <v>2</v>
      </c>
      <c r="F3455" s="144" t="s">
        <v>456</v>
      </c>
      <c r="G3455" s="1242">
        <f t="shared" ref="G3455:G3457" si="144">E3455*F3455</f>
        <v>22</v>
      </c>
      <c r="H3455" s="1246"/>
    </row>
    <row r="3456" spans="1:8" ht="14.4">
      <c r="A3456" s="142" t="s">
        <v>461</v>
      </c>
      <c r="B3456" s="142" t="s">
        <v>279</v>
      </c>
      <c r="C3456" s="142"/>
      <c r="D3456" s="143" t="s">
        <v>383</v>
      </c>
      <c r="E3456" s="144">
        <v>0.55000000000000004</v>
      </c>
      <c r="F3456" s="144" t="s">
        <v>384</v>
      </c>
      <c r="G3456" s="1242">
        <f t="shared" si="144"/>
        <v>15.218500000000002</v>
      </c>
      <c r="H3456" s="1246"/>
    </row>
    <row r="3457" spans="1:8" ht="14.4">
      <c r="A3457" s="142" t="s">
        <v>444</v>
      </c>
      <c r="B3457" s="142" t="s">
        <v>385</v>
      </c>
      <c r="C3457" s="142"/>
      <c r="D3457" s="143" t="s">
        <v>383</v>
      </c>
      <c r="E3457" s="144">
        <v>0.55000000000000004</v>
      </c>
      <c r="F3457" s="144" t="s">
        <v>386</v>
      </c>
      <c r="G3457" s="1242">
        <f t="shared" si="144"/>
        <v>13.711500000000001</v>
      </c>
      <c r="H3457" s="1246"/>
    </row>
    <row r="3458" spans="1:8" ht="20.399999999999999">
      <c r="A3458" s="142" t="s">
        <v>462</v>
      </c>
      <c r="B3458" s="142" t="s">
        <v>457</v>
      </c>
      <c r="C3458" s="142"/>
      <c r="D3458" s="143" t="s">
        <v>381</v>
      </c>
      <c r="E3458" s="147">
        <v>1</v>
      </c>
      <c r="F3458" s="144" t="s">
        <v>458</v>
      </c>
      <c r="G3458" s="1242">
        <f>E3458*F3458</f>
        <v>50.76</v>
      </c>
      <c r="H3458" s="1246"/>
    </row>
    <row r="3460" spans="1:8">
      <c r="G3460" s="149" t="s">
        <v>448</v>
      </c>
      <c r="H3460" s="151">
        <f>SUM(G3454:H3458)</f>
        <v>118.49000000000001</v>
      </c>
    </row>
    <row r="3461" spans="1:8">
      <c r="G3461" s="149" t="s">
        <v>449</v>
      </c>
      <c r="H3461" s="151">
        <f>SUM(G3456:H3457)</f>
        <v>28.930000000000003</v>
      </c>
    </row>
    <row r="3462" spans="1:8">
      <c r="G3462" s="149" t="s">
        <v>450</v>
      </c>
      <c r="H3462" s="152">
        <f>SUM(H3460:H3461)*0.2457</f>
        <v>36.221094000000001</v>
      </c>
    </row>
    <row r="3463" spans="1:8">
      <c r="G3463" s="149" t="s">
        <v>451</v>
      </c>
      <c r="H3463" s="151">
        <f>SUM(H3460:H3462)</f>
        <v>183.64109400000001</v>
      </c>
    </row>
    <row r="3467" spans="1:8">
      <c r="A3467" s="134" t="s">
        <v>478</v>
      </c>
      <c r="B3467" s="130"/>
      <c r="C3467" s="130"/>
      <c r="D3467" s="130"/>
      <c r="E3467" s="130"/>
      <c r="F3467" s="130"/>
      <c r="G3467" s="130"/>
      <c r="H3467" s="130"/>
    </row>
    <row r="3468" spans="1:8" ht="24.75" customHeight="1">
      <c r="A3468" s="1245" t="s">
        <v>479</v>
      </c>
      <c r="B3468" s="1244"/>
      <c r="C3468" s="1244"/>
      <c r="D3468" s="1244"/>
      <c r="E3468" s="1244"/>
      <c r="F3468" s="1244"/>
      <c r="G3468" s="1244"/>
      <c r="H3468" s="1244"/>
    </row>
    <row r="3470" spans="1:8">
      <c r="A3470" s="130" t="s">
        <v>119</v>
      </c>
      <c r="B3470" s="130"/>
      <c r="C3470" s="130"/>
      <c r="D3470" s="130"/>
      <c r="E3470" s="130"/>
      <c r="F3470" s="130"/>
      <c r="G3470" s="130"/>
      <c r="H3470" s="130"/>
    </row>
    <row r="3472" spans="1:8">
      <c r="A3472" s="130" t="s">
        <v>161</v>
      </c>
      <c r="B3472" s="130"/>
      <c r="C3472" s="130"/>
      <c r="D3472" s="130"/>
      <c r="E3472" s="130"/>
      <c r="F3472" s="130"/>
      <c r="G3472" s="130"/>
      <c r="H3472" s="130"/>
    </row>
    <row r="3474" spans="1:8">
      <c r="A3474" s="133" t="s">
        <v>30</v>
      </c>
      <c r="B3474" s="133" t="s">
        <v>19</v>
      </c>
      <c r="C3474" s="133" t="s">
        <v>81</v>
      </c>
      <c r="D3474" s="133" t="s">
        <v>77</v>
      </c>
      <c r="E3474" s="133" t="s">
        <v>82</v>
      </c>
      <c r="F3474" s="133" t="s">
        <v>83</v>
      </c>
      <c r="G3474" s="133" t="s">
        <v>84</v>
      </c>
      <c r="H3474" s="133" t="s">
        <v>85</v>
      </c>
    </row>
    <row r="3475" spans="1:8">
      <c r="A3475" s="130" t="s">
        <v>123</v>
      </c>
      <c r="B3475" s="130" t="s">
        <v>69</v>
      </c>
      <c r="C3475" s="130" t="s">
        <v>104</v>
      </c>
      <c r="D3475" s="130" t="s">
        <v>105</v>
      </c>
      <c r="E3475" s="130">
        <v>0.56999999999999995</v>
      </c>
      <c r="F3475" s="130">
        <v>6.46</v>
      </c>
      <c r="G3475" s="130">
        <v>3.68</v>
      </c>
      <c r="H3475" s="130">
        <v>0.56999999999999995</v>
      </c>
    </row>
    <row r="3476" spans="1:8">
      <c r="A3476" s="130" t="s">
        <v>124</v>
      </c>
      <c r="B3476" s="130" t="s">
        <v>70</v>
      </c>
      <c r="C3476" s="130" t="s">
        <v>104</v>
      </c>
      <c r="D3476" s="130" t="s">
        <v>105</v>
      </c>
      <c r="E3476" s="130">
        <v>0.65</v>
      </c>
      <c r="F3476" s="130">
        <v>4.8</v>
      </c>
      <c r="G3476" s="130">
        <v>3.12</v>
      </c>
      <c r="H3476" s="130">
        <v>0.65</v>
      </c>
    </row>
    <row r="3477" spans="1:8">
      <c r="A3477" s="130" t="s">
        <v>480</v>
      </c>
      <c r="B3477" s="130" t="s">
        <v>481</v>
      </c>
      <c r="C3477" s="130" t="s">
        <v>87</v>
      </c>
      <c r="D3477" s="130" t="s">
        <v>3</v>
      </c>
      <c r="E3477" s="130">
        <v>1.2500000000000001E-2</v>
      </c>
      <c r="F3477" s="130">
        <v>131.43</v>
      </c>
      <c r="G3477" s="130">
        <v>1.64</v>
      </c>
      <c r="H3477" s="130">
        <v>1.2500000000000001E-2</v>
      </c>
    </row>
    <row r="3478" spans="1:8">
      <c r="A3478" s="130" t="s">
        <v>482</v>
      </c>
      <c r="B3478" s="130" t="s">
        <v>483</v>
      </c>
      <c r="C3478" s="130" t="s">
        <v>87</v>
      </c>
      <c r="D3478" s="130" t="s">
        <v>102</v>
      </c>
      <c r="E3478" s="130">
        <v>1.87</v>
      </c>
      <c r="F3478" s="130">
        <v>0.48</v>
      </c>
      <c r="G3478" s="130">
        <v>0.9</v>
      </c>
      <c r="H3478" s="130">
        <v>1.87</v>
      </c>
    </row>
    <row r="3479" spans="1:8">
      <c r="A3479" s="130" t="s">
        <v>484</v>
      </c>
      <c r="B3479" s="130" t="s">
        <v>485</v>
      </c>
      <c r="C3479" s="130" t="s">
        <v>87</v>
      </c>
      <c r="D3479" s="130" t="s">
        <v>102</v>
      </c>
      <c r="E3479" s="130">
        <v>1.87</v>
      </c>
      <c r="F3479" s="130">
        <v>0.59</v>
      </c>
      <c r="G3479" s="130">
        <v>1.1000000000000001</v>
      </c>
      <c r="H3479" s="130">
        <v>1.87</v>
      </c>
    </row>
    <row r="3480" spans="1:8">
      <c r="A3480" s="130" t="s">
        <v>486</v>
      </c>
      <c r="B3480" s="130" t="s">
        <v>487</v>
      </c>
      <c r="C3480" s="130" t="s">
        <v>87</v>
      </c>
      <c r="D3480" s="130" t="s">
        <v>5</v>
      </c>
      <c r="E3480" s="130">
        <v>13.125</v>
      </c>
      <c r="F3480" s="130">
        <v>2.2599999999999998</v>
      </c>
      <c r="G3480" s="130">
        <v>29.66</v>
      </c>
      <c r="H3480" s="130">
        <v>13.125</v>
      </c>
    </row>
    <row r="3481" spans="1:8">
      <c r="A3481" s="130"/>
      <c r="B3481" s="130"/>
      <c r="C3481" s="130"/>
      <c r="D3481" s="130"/>
      <c r="E3481" s="130"/>
      <c r="F3481" s="130" t="s">
        <v>90</v>
      </c>
      <c r="G3481" s="130">
        <v>6.8</v>
      </c>
      <c r="H3481" s="130"/>
    </row>
    <row r="3482" spans="1:8">
      <c r="A3482" s="130"/>
      <c r="B3482" s="130"/>
      <c r="C3482" s="130"/>
      <c r="D3482" s="130"/>
      <c r="E3482" s="130"/>
      <c r="F3482" s="130" t="s">
        <v>92</v>
      </c>
      <c r="G3482" s="130">
        <v>33.299999999999997</v>
      </c>
      <c r="H3482" s="130"/>
    </row>
    <row r="3483" spans="1:8">
      <c r="A3483" s="130"/>
      <c r="B3483" s="130"/>
      <c r="C3483" s="130"/>
      <c r="D3483" s="130"/>
      <c r="E3483" s="130"/>
      <c r="F3483" s="130" t="s">
        <v>93</v>
      </c>
      <c r="G3483" s="130">
        <v>40.1</v>
      </c>
      <c r="H3483" s="130"/>
    </row>
    <row r="3485" spans="1:8">
      <c r="A3485" s="134" t="s">
        <v>94</v>
      </c>
      <c r="B3485" s="130"/>
      <c r="C3485" s="130"/>
      <c r="D3485" s="130"/>
      <c r="E3485" s="130"/>
      <c r="F3485" s="130"/>
      <c r="G3485" s="130"/>
      <c r="H3485" s="130"/>
    </row>
    <row r="3486" spans="1:8">
      <c r="A3486" s="130" t="s">
        <v>95</v>
      </c>
      <c r="B3486" s="130">
        <v>40.1</v>
      </c>
      <c r="C3486" s="130"/>
      <c r="D3486" s="130"/>
      <c r="E3486" s="130"/>
      <c r="F3486" s="130"/>
      <c r="G3486" s="130"/>
      <c r="H3486" s="130"/>
    </row>
    <row r="3487" spans="1:8">
      <c r="A3487" s="130" t="s">
        <v>96</v>
      </c>
      <c r="B3487" s="130">
        <v>4.92</v>
      </c>
      <c r="C3487" s="130"/>
      <c r="D3487" s="130"/>
      <c r="E3487" s="130"/>
      <c r="F3487" s="130"/>
      <c r="G3487" s="130"/>
      <c r="H3487" s="130"/>
    </row>
    <row r="3488" spans="1:8">
      <c r="A3488" s="130" t="s">
        <v>97</v>
      </c>
      <c r="B3488" s="130">
        <v>11.06</v>
      </c>
      <c r="C3488" s="130"/>
      <c r="D3488" s="130"/>
      <c r="E3488" s="130"/>
      <c r="F3488" s="130"/>
      <c r="G3488" s="130"/>
      <c r="H3488" s="130"/>
    </row>
    <row r="3489" spans="1:8">
      <c r="A3489" s="130" t="s">
        <v>98</v>
      </c>
      <c r="B3489" s="130">
        <v>56.08</v>
      </c>
      <c r="C3489" s="130"/>
      <c r="D3489" s="130"/>
      <c r="E3489" s="130"/>
      <c r="F3489" s="130"/>
      <c r="G3489" s="130"/>
      <c r="H3489" s="130"/>
    </row>
    <row r="3491" spans="1:8">
      <c r="A3491" s="1202" t="s">
        <v>488</v>
      </c>
      <c r="B3491" s="1203"/>
      <c r="C3491" s="1203"/>
      <c r="D3491" s="1203"/>
      <c r="E3491" s="1203"/>
      <c r="F3491" s="1203"/>
      <c r="G3491" s="1203"/>
      <c r="H3491" s="1203"/>
    </row>
    <row r="3492" spans="1:8">
      <c r="A3492" s="1202" t="s">
        <v>489</v>
      </c>
      <c r="B3492" s="1203"/>
      <c r="C3492" s="1203"/>
      <c r="D3492" s="1203"/>
      <c r="E3492" s="1203"/>
      <c r="F3492" s="1203"/>
      <c r="G3492" s="1203"/>
      <c r="H3492" s="1203"/>
    </row>
    <row r="3494" spans="1:8">
      <c r="A3494" s="1203" t="s">
        <v>80</v>
      </c>
      <c r="B3494" s="1203"/>
      <c r="C3494" s="1203"/>
      <c r="D3494" s="1203"/>
      <c r="E3494" s="1203"/>
      <c r="F3494" s="1203"/>
      <c r="G3494" s="1203"/>
      <c r="H3494" s="1203"/>
    </row>
    <row r="3496" spans="1:8">
      <c r="A3496" s="1203" t="s">
        <v>99</v>
      </c>
      <c r="B3496" s="1203"/>
      <c r="C3496" s="1203"/>
      <c r="D3496" s="1203"/>
      <c r="E3496" s="1203"/>
      <c r="F3496" s="1203"/>
      <c r="G3496" s="1203"/>
      <c r="H3496" s="1203"/>
    </row>
    <row r="3498" spans="1:8">
      <c r="A3498" s="133" t="s">
        <v>30</v>
      </c>
      <c r="B3498" s="133" t="s">
        <v>19</v>
      </c>
      <c r="C3498" s="133" t="s">
        <v>81</v>
      </c>
      <c r="D3498" s="133" t="s">
        <v>77</v>
      </c>
      <c r="E3498" s="133" t="s">
        <v>82</v>
      </c>
      <c r="F3498" s="133" t="s">
        <v>83</v>
      </c>
      <c r="G3498" s="133" t="s">
        <v>84</v>
      </c>
      <c r="H3498" s="133" t="s">
        <v>85</v>
      </c>
    </row>
    <row r="3499" spans="1:8">
      <c r="A3499" s="130" t="s">
        <v>490</v>
      </c>
      <c r="B3499" s="130" t="s">
        <v>491</v>
      </c>
      <c r="C3499" s="130" t="s">
        <v>108</v>
      </c>
      <c r="D3499" s="130" t="s">
        <v>112</v>
      </c>
      <c r="E3499" s="130" t="s">
        <v>492</v>
      </c>
      <c r="F3499" s="130" t="s">
        <v>493</v>
      </c>
      <c r="G3499" s="130" t="s">
        <v>494</v>
      </c>
      <c r="H3499" s="130" t="s">
        <v>492</v>
      </c>
    </row>
    <row r="3500" spans="1:8">
      <c r="A3500" s="130" t="s">
        <v>117</v>
      </c>
      <c r="B3500" s="130" t="s">
        <v>118</v>
      </c>
      <c r="C3500" s="130" t="s">
        <v>108</v>
      </c>
      <c r="D3500" s="130" t="s">
        <v>105</v>
      </c>
      <c r="E3500" s="130" t="s">
        <v>495</v>
      </c>
      <c r="F3500" s="130" t="s">
        <v>147</v>
      </c>
      <c r="G3500" s="130" t="s">
        <v>496</v>
      </c>
      <c r="H3500" s="130" t="s">
        <v>495</v>
      </c>
    </row>
    <row r="3501" spans="1:8">
      <c r="A3501" s="130" t="s">
        <v>109</v>
      </c>
      <c r="B3501" s="130" t="s">
        <v>110</v>
      </c>
      <c r="C3501" s="130" t="s">
        <v>108</v>
      </c>
      <c r="D3501" s="130" t="s">
        <v>105</v>
      </c>
      <c r="E3501" s="130" t="s">
        <v>497</v>
      </c>
      <c r="F3501" s="130" t="s">
        <v>140</v>
      </c>
      <c r="G3501" s="130" t="s">
        <v>428</v>
      </c>
      <c r="H3501" s="130" t="s">
        <v>497</v>
      </c>
    </row>
    <row r="3502" spans="1:8">
      <c r="A3502" s="130"/>
      <c r="B3502" s="130"/>
      <c r="C3502" s="130"/>
      <c r="D3502" s="130"/>
      <c r="E3502" s="130"/>
      <c r="F3502" s="130" t="s">
        <v>90</v>
      </c>
      <c r="G3502" s="130" t="s">
        <v>498</v>
      </c>
      <c r="H3502" s="130"/>
    </row>
    <row r="3503" spans="1:8">
      <c r="A3503" s="130"/>
      <c r="B3503" s="130"/>
      <c r="C3503" s="130"/>
      <c r="D3503" s="130"/>
      <c r="E3503" s="130"/>
      <c r="F3503" s="130" t="s">
        <v>92</v>
      </c>
      <c r="G3503" s="130" t="s">
        <v>499</v>
      </c>
      <c r="H3503" s="130"/>
    </row>
    <row r="3504" spans="1:8">
      <c r="A3504" s="130"/>
      <c r="B3504" s="130"/>
      <c r="C3504" s="130"/>
      <c r="D3504" s="130"/>
      <c r="E3504" s="130"/>
      <c r="F3504" s="130" t="s">
        <v>93</v>
      </c>
      <c r="G3504" s="130" t="s">
        <v>500</v>
      </c>
      <c r="H3504" s="130"/>
    </row>
    <row r="3506" spans="1:8">
      <c r="A3506" s="1202" t="s">
        <v>94</v>
      </c>
      <c r="B3506" s="1203"/>
      <c r="C3506" s="1203"/>
      <c r="D3506" s="1203"/>
      <c r="E3506" s="1203"/>
      <c r="F3506" s="1203"/>
      <c r="G3506" s="1203"/>
      <c r="H3506" s="1203"/>
    </row>
    <row r="3507" spans="1:8">
      <c r="A3507" s="130" t="s">
        <v>95</v>
      </c>
      <c r="B3507" s="130" t="s">
        <v>500</v>
      </c>
      <c r="C3507" s="130"/>
      <c r="D3507" s="130"/>
      <c r="E3507" s="130"/>
      <c r="F3507" s="130"/>
      <c r="G3507" s="130"/>
      <c r="H3507" s="130"/>
    </row>
    <row r="3508" spans="1:8">
      <c r="A3508" s="130" t="s">
        <v>96</v>
      </c>
      <c r="B3508" s="130" t="s">
        <v>501</v>
      </c>
      <c r="C3508" s="130"/>
      <c r="D3508" s="130"/>
      <c r="E3508" s="130"/>
      <c r="F3508" s="130"/>
      <c r="G3508" s="130"/>
      <c r="H3508" s="130"/>
    </row>
    <row r="3509" spans="1:8">
      <c r="A3509" s="130" t="s">
        <v>97</v>
      </c>
      <c r="B3509" s="130" t="s">
        <v>502</v>
      </c>
      <c r="C3509" s="130"/>
      <c r="D3509" s="130"/>
      <c r="E3509" s="130"/>
      <c r="F3509" s="130"/>
      <c r="G3509" s="130"/>
      <c r="H3509" s="130"/>
    </row>
    <row r="3510" spans="1:8">
      <c r="A3510" s="130" t="s">
        <v>98</v>
      </c>
      <c r="B3510" s="130" t="s">
        <v>503</v>
      </c>
      <c r="C3510" s="130"/>
      <c r="D3510" s="130"/>
      <c r="E3510" s="130"/>
      <c r="F3510" s="130"/>
      <c r="G3510" s="130"/>
      <c r="H3510" s="130"/>
    </row>
    <row r="3512" spans="1:8">
      <c r="A3512" s="1202" t="s">
        <v>510</v>
      </c>
      <c r="B3512" s="1203"/>
      <c r="C3512" s="1203"/>
      <c r="D3512" s="1203"/>
      <c r="E3512" s="1203"/>
      <c r="F3512" s="1203"/>
      <c r="G3512" s="1203"/>
      <c r="H3512" s="1203"/>
    </row>
    <row r="3513" spans="1:8">
      <c r="A3513" s="1202" t="s">
        <v>511</v>
      </c>
      <c r="B3513" s="1203"/>
      <c r="C3513" s="1203"/>
      <c r="D3513" s="1203"/>
      <c r="E3513" s="1203"/>
      <c r="F3513" s="1203"/>
      <c r="G3513" s="1203"/>
      <c r="H3513" s="1203"/>
    </row>
    <row r="3515" spans="1:8">
      <c r="A3515" s="1203" t="s">
        <v>504</v>
      </c>
      <c r="B3515" s="1203"/>
      <c r="C3515" s="1203"/>
      <c r="D3515" s="1203"/>
      <c r="E3515" s="1203"/>
      <c r="F3515" s="1203"/>
      <c r="G3515" s="1203"/>
      <c r="H3515" s="1203"/>
    </row>
    <row r="3517" spans="1:8">
      <c r="A3517" s="1203" t="s">
        <v>99</v>
      </c>
      <c r="B3517" s="1203"/>
      <c r="C3517" s="1203"/>
      <c r="D3517" s="1203"/>
      <c r="E3517" s="1203"/>
      <c r="F3517" s="1203"/>
      <c r="G3517" s="1203"/>
      <c r="H3517" s="1203"/>
    </row>
    <row r="3519" spans="1:8">
      <c r="A3519" s="133" t="s">
        <v>30</v>
      </c>
      <c r="B3519" s="133" t="s">
        <v>19</v>
      </c>
      <c r="C3519" s="133" t="s">
        <v>81</v>
      </c>
      <c r="D3519" s="133" t="s">
        <v>77</v>
      </c>
      <c r="E3519" s="133" t="s">
        <v>82</v>
      </c>
      <c r="F3519" s="133" t="s">
        <v>83</v>
      </c>
      <c r="G3519" s="133" t="s">
        <v>84</v>
      </c>
      <c r="H3519" s="133" t="s">
        <v>85</v>
      </c>
    </row>
    <row r="3520" spans="1:8">
      <c r="A3520" s="130" t="s">
        <v>512</v>
      </c>
      <c r="B3520" s="130" t="s">
        <v>513</v>
      </c>
      <c r="C3520" s="130" t="s">
        <v>87</v>
      </c>
      <c r="D3520" s="130" t="s">
        <v>102</v>
      </c>
      <c r="E3520" s="130" t="s">
        <v>514</v>
      </c>
      <c r="F3520" s="130" t="s">
        <v>251</v>
      </c>
      <c r="G3520" s="130" t="s">
        <v>509</v>
      </c>
      <c r="H3520" s="130" t="s">
        <v>514</v>
      </c>
    </row>
    <row r="3521" spans="1:8">
      <c r="A3521" s="130" t="s">
        <v>515</v>
      </c>
      <c r="B3521" s="130" t="s">
        <v>516</v>
      </c>
      <c r="C3521" s="130" t="s">
        <v>517</v>
      </c>
      <c r="D3521" s="130" t="s">
        <v>105</v>
      </c>
      <c r="E3521" s="130" t="s">
        <v>518</v>
      </c>
      <c r="F3521" s="130" t="s">
        <v>519</v>
      </c>
      <c r="G3521" s="130" t="s">
        <v>179</v>
      </c>
      <c r="H3521" s="130" t="s">
        <v>518</v>
      </c>
    </row>
    <row r="3522" spans="1:8">
      <c r="A3522" s="130" t="s">
        <v>505</v>
      </c>
      <c r="B3522" s="130" t="s">
        <v>130</v>
      </c>
      <c r="C3522" s="130" t="s">
        <v>104</v>
      </c>
      <c r="D3522" s="130" t="s">
        <v>105</v>
      </c>
      <c r="E3522" s="130" t="s">
        <v>146</v>
      </c>
      <c r="F3522" s="130" t="s">
        <v>506</v>
      </c>
      <c r="G3522" s="130" t="s">
        <v>238</v>
      </c>
      <c r="H3522" s="130" t="s">
        <v>146</v>
      </c>
    </row>
    <row r="3523" spans="1:8">
      <c r="A3523" s="130" t="s">
        <v>507</v>
      </c>
      <c r="B3523" s="130" t="s">
        <v>103</v>
      </c>
      <c r="C3523" s="130" t="s">
        <v>104</v>
      </c>
      <c r="D3523" s="130" t="s">
        <v>105</v>
      </c>
      <c r="E3523" s="130" t="s">
        <v>520</v>
      </c>
      <c r="F3523" s="130" t="s">
        <v>508</v>
      </c>
      <c r="G3523" s="130" t="s">
        <v>521</v>
      </c>
      <c r="H3523" s="130" t="s">
        <v>520</v>
      </c>
    </row>
    <row r="3524" spans="1:8">
      <c r="A3524" s="130"/>
      <c r="B3524" s="130"/>
      <c r="C3524" s="130"/>
      <c r="D3524" s="130"/>
      <c r="E3524" s="130"/>
      <c r="F3524" s="130" t="s">
        <v>90</v>
      </c>
      <c r="G3524" s="130" t="s">
        <v>522</v>
      </c>
      <c r="H3524" s="130"/>
    </row>
    <row r="3525" spans="1:8">
      <c r="A3525" s="130"/>
      <c r="B3525" s="130"/>
      <c r="C3525" s="130"/>
      <c r="D3525" s="130"/>
      <c r="E3525" s="130"/>
      <c r="F3525" s="130" t="s">
        <v>92</v>
      </c>
      <c r="G3525" s="130" t="s">
        <v>523</v>
      </c>
      <c r="H3525" s="130"/>
    </row>
    <row r="3526" spans="1:8">
      <c r="A3526" s="130"/>
      <c r="B3526" s="130"/>
      <c r="C3526" s="130"/>
      <c r="D3526" s="130"/>
      <c r="E3526" s="130"/>
      <c r="F3526" s="130" t="s">
        <v>93</v>
      </c>
      <c r="G3526" s="130" t="s">
        <v>524</v>
      </c>
      <c r="H3526" s="130"/>
    </row>
    <row r="3528" spans="1:8">
      <c r="A3528" s="1202" t="s">
        <v>94</v>
      </c>
      <c r="B3528" s="1203"/>
      <c r="C3528" s="1203"/>
      <c r="D3528" s="1203"/>
      <c r="E3528" s="1203"/>
      <c r="F3528" s="1203"/>
      <c r="G3528" s="1203"/>
      <c r="H3528" s="1203"/>
    </row>
    <row r="3529" spans="1:8">
      <c r="A3529" s="130" t="s">
        <v>95</v>
      </c>
      <c r="B3529" s="130" t="s">
        <v>524</v>
      </c>
      <c r="C3529" s="130"/>
      <c r="D3529" s="130"/>
      <c r="E3529" s="130"/>
      <c r="F3529" s="130"/>
      <c r="G3529" s="130"/>
      <c r="H3529" s="130"/>
    </row>
    <row r="3530" spans="1:8">
      <c r="A3530" s="130" t="s">
        <v>96</v>
      </c>
      <c r="B3530" s="130" t="s">
        <v>525</v>
      </c>
      <c r="C3530" s="130"/>
      <c r="D3530" s="130"/>
      <c r="E3530" s="130"/>
      <c r="F3530" s="130"/>
      <c r="G3530" s="130"/>
      <c r="H3530" s="130"/>
    </row>
    <row r="3531" spans="1:8">
      <c r="A3531" s="130" t="s">
        <v>97</v>
      </c>
      <c r="B3531" s="130" t="s">
        <v>287</v>
      </c>
      <c r="C3531" s="130"/>
      <c r="D3531" s="130"/>
      <c r="E3531" s="130"/>
      <c r="F3531" s="130"/>
      <c r="G3531" s="130"/>
      <c r="H3531" s="130"/>
    </row>
    <row r="3532" spans="1:8">
      <c r="A3532" s="130" t="s">
        <v>98</v>
      </c>
      <c r="B3532" s="130" t="s">
        <v>526</v>
      </c>
      <c r="C3532" s="130"/>
      <c r="D3532" s="130"/>
      <c r="E3532" s="130"/>
      <c r="F3532" s="130"/>
      <c r="G3532" s="130"/>
      <c r="H3532" s="130"/>
    </row>
    <row r="3535" spans="1:8">
      <c r="A3535" s="1202" t="s">
        <v>527</v>
      </c>
      <c r="B3535" s="1203"/>
      <c r="C3535" s="1203"/>
      <c r="D3535" s="1203"/>
      <c r="E3535" s="1203"/>
      <c r="F3535" s="1203"/>
      <c r="G3535" s="1203"/>
      <c r="H3535" s="1203"/>
    </row>
    <row r="3536" spans="1:8">
      <c r="A3536" s="1202" t="s">
        <v>528</v>
      </c>
      <c r="B3536" s="1203"/>
      <c r="C3536" s="1203"/>
      <c r="D3536" s="1203"/>
      <c r="E3536" s="1203"/>
      <c r="F3536" s="1203"/>
      <c r="G3536" s="1203"/>
      <c r="H3536" s="1203"/>
    </row>
    <row r="3538" spans="1:8">
      <c r="A3538" s="1203" t="s">
        <v>115</v>
      </c>
      <c r="B3538" s="1203"/>
      <c r="C3538" s="1203"/>
      <c r="D3538" s="1203"/>
      <c r="E3538" s="1203"/>
      <c r="F3538" s="1203"/>
      <c r="G3538" s="1203"/>
      <c r="H3538" s="1203"/>
    </row>
    <row r="3540" spans="1:8">
      <c r="A3540" s="1203" t="s">
        <v>99</v>
      </c>
      <c r="B3540" s="1203"/>
      <c r="C3540" s="1203"/>
      <c r="D3540" s="1203"/>
      <c r="E3540" s="1203"/>
      <c r="F3540" s="1203"/>
      <c r="G3540" s="1203"/>
      <c r="H3540" s="1203"/>
    </row>
    <row r="3542" spans="1:8">
      <c r="A3542" s="133" t="s">
        <v>30</v>
      </c>
      <c r="B3542" s="133" t="s">
        <v>19</v>
      </c>
      <c r="C3542" s="133" t="s">
        <v>81</v>
      </c>
      <c r="D3542" s="133" t="s">
        <v>77</v>
      </c>
      <c r="E3542" s="133" t="s">
        <v>82</v>
      </c>
      <c r="F3542" s="133" t="s">
        <v>83</v>
      </c>
      <c r="G3542" s="133" t="s">
        <v>84</v>
      </c>
      <c r="H3542" s="133" t="s">
        <v>85</v>
      </c>
    </row>
    <row r="3543" spans="1:8">
      <c r="A3543" s="130" t="s">
        <v>529</v>
      </c>
      <c r="B3543" s="130" t="s">
        <v>530</v>
      </c>
      <c r="C3543" s="130" t="s">
        <v>87</v>
      </c>
      <c r="D3543" s="130" t="s">
        <v>100</v>
      </c>
      <c r="E3543" s="130" t="s">
        <v>101</v>
      </c>
      <c r="F3543" s="130" t="s">
        <v>531</v>
      </c>
      <c r="G3543" s="130" t="s">
        <v>531</v>
      </c>
      <c r="H3543" s="130" t="s">
        <v>101</v>
      </c>
    </row>
    <row r="3544" spans="1:8">
      <c r="A3544" s="130"/>
      <c r="B3544" s="130"/>
      <c r="C3544" s="130"/>
      <c r="D3544" s="130"/>
      <c r="E3544" s="130"/>
      <c r="F3544" s="130" t="s">
        <v>90</v>
      </c>
      <c r="G3544" s="130" t="s">
        <v>91</v>
      </c>
      <c r="H3544" s="130"/>
    </row>
    <row r="3545" spans="1:8">
      <c r="A3545" s="130"/>
      <c r="B3545" s="130"/>
      <c r="C3545" s="130"/>
      <c r="D3545" s="130"/>
      <c r="E3545" s="130"/>
      <c r="F3545" s="130" t="s">
        <v>92</v>
      </c>
      <c r="G3545" s="130" t="s">
        <v>531</v>
      </c>
      <c r="H3545" s="130"/>
    </row>
    <row r="3546" spans="1:8">
      <c r="A3546" s="130"/>
      <c r="B3546" s="130"/>
      <c r="C3546" s="130"/>
      <c r="D3546" s="130"/>
      <c r="E3546" s="130"/>
      <c r="F3546" s="130" t="s">
        <v>93</v>
      </c>
      <c r="G3546" s="130" t="s">
        <v>531</v>
      </c>
      <c r="H3546" s="130"/>
    </row>
    <row r="3548" spans="1:8">
      <c r="A3548" s="1202" t="s">
        <v>94</v>
      </c>
      <c r="B3548" s="1203"/>
      <c r="C3548" s="1203"/>
      <c r="D3548" s="1203"/>
      <c r="E3548" s="1203"/>
      <c r="F3548" s="1203"/>
      <c r="G3548" s="1203"/>
      <c r="H3548" s="1203"/>
    </row>
    <row r="3549" spans="1:8">
      <c r="A3549" s="130" t="s">
        <v>95</v>
      </c>
      <c r="B3549" s="130" t="s">
        <v>531</v>
      </c>
      <c r="C3549" s="130"/>
      <c r="D3549" s="130"/>
      <c r="E3549" s="130"/>
      <c r="F3549" s="130"/>
      <c r="G3549" s="130"/>
      <c r="H3549" s="130"/>
    </row>
    <row r="3550" spans="1:8">
      <c r="A3550" s="130" t="s">
        <v>96</v>
      </c>
      <c r="B3550" s="130" t="s">
        <v>91</v>
      </c>
      <c r="C3550" s="130"/>
      <c r="D3550" s="130"/>
      <c r="E3550" s="130"/>
      <c r="F3550" s="130"/>
      <c r="G3550" s="130"/>
      <c r="H3550" s="130"/>
    </row>
    <row r="3551" spans="1:8">
      <c r="A3551" s="130" t="s">
        <v>97</v>
      </c>
      <c r="B3551" s="130" t="s">
        <v>532</v>
      </c>
      <c r="C3551" s="130"/>
      <c r="D3551" s="130"/>
      <c r="E3551" s="130"/>
      <c r="F3551" s="130"/>
      <c r="G3551" s="130"/>
      <c r="H3551" s="130"/>
    </row>
    <row r="3552" spans="1:8">
      <c r="A3552" s="130" t="s">
        <v>98</v>
      </c>
      <c r="B3552" s="130" t="s">
        <v>533</v>
      </c>
      <c r="C3552" s="130"/>
      <c r="D3552" s="130"/>
      <c r="E3552" s="130"/>
      <c r="F3552" s="130"/>
      <c r="G3552" s="130"/>
      <c r="H3552" s="130"/>
    </row>
    <row r="3553" spans="1:8">
      <c r="A3553" s="130"/>
      <c r="B3553" s="130"/>
      <c r="C3553" s="130"/>
      <c r="D3553" s="130"/>
      <c r="E3553" s="130"/>
      <c r="F3553" s="130"/>
      <c r="G3553" s="130"/>
      <c r="H3553" s="130"/>
    </row>
    <row r="3554" spans="1:8">
      <c r="A3554" s="1202" t="s">
        <v>549</v>
      </c>
      <c r="B3554" s="1203"/>
      <c r="C3554" s="1203"/>
      <c r="D3554" s="1203"/>
      <c r="E3554" s="1203"/>
      <c r="F3554" s="1203"/>
      <c r="G3554" s="1203"/>
      <c r="H3554" s="1203"/>
    </row>
    <row r="3555" spans="1:8">
      <c r="A3555" s="1202" t="s">
        <v>550</v>
      </c>
      <c r="B3555" s="1203"/>
      <c r="C3555" s="1203"/>
      <c r="D3555" s="1203"/>
      <c r="E3555" s="1203"/>
      <c r="F3555" s="1203"/>
      <c r="G3555" s="1203"/>
      <c r="H3555" s="1203"/>
    </row>
    <row r="3556" spans="1:8">
      <c r="A3556" s="130"/>
      <c r="B3556" s="130"/>
      <c r="C3556" s="130"/>
      <c r="D3556" s="130"/>
      <c r="E3556" s="130"/>
      <c r="F3556" s="130"/>
      <c r="G3556" s="130"/>
      <c r="H3556" s="130"/>
    </row>
    <row r="3557" spans="1:8">
      <c r="A3557" s="1203" t="s">
        <v>119</v>
      </c>
      <c r="B3557" s="1203"/>
      <c r="C3557" s="1203"/>
      <c r="D3557" s="1203"/>
      <c r="E3557" s="1203"/>
      <c r="F3557" s="1203"/>
      <c r="G3557" s="1203"/>
      <c r="H3557" s="1203"/>
    </row>
    <row r="3558" spans="1:8">
      <c r="A3558" s="130"/>
      <c r="B3558" s="130"/>
      <c r="C3558" s="130"/>
      <c r="D3558" s="130"/>
      <c r="E3558" s="130"/>
      <c r="F3558" s="130"/>
      <c r="G3558" s="130"/>
      <c r="H3558" s="130"/>
    </row>
    <row r="3559" spans="1:8">
      <c r="A3559" s="1203" t="s">
        <v>161</v>
      </c>
      <c r="B3559" s="1203"/>
      <c r="C3559" s="1203"/>
      <c r="D3559" s="1203"/>
      <c r="E3559" s="1203"/>
      <c r="F3559" s="1203"/>
      <c r="G3559" s="1203"/>
      <c r="H3559" s="1203"/>
    </row>
    <row r="3560" spans="1:8">
      <c r="A3560" s="130"/>
      <c r="B3560" s="130"/>
      <c r="C3560" s="130"/>
      <c r="D3560" s="130"/>
      <c r="E3560" s="130"/>
      <c r="F3560" s="130"/>
      <c r="G3560" s="130"/>
      <c r="H3560" s="130"/>
    </row>
    <row r="3561" spans="1:8">
      <c r="A3561" s="133" t="s">
        <v>30</v>
      </c>
      <c r="B3561" s="133" t="s">
        <v>19</v>
      </c>
      <c r="C3561" s="133" t="s">
        <v>81</v>
      </c>
      <c r="D3561" s="133" t="s">
        <v>77</v>
      </c>
      <c r="E3561" s="133" t="s">
        <v>82</v>
      </c>
      <c r="F3561" s="133" t="s">
        <v>83</v>
      </c>
      <c r="G3561" s="133" t="s">
        <v>84</v>
      </c>
      <c r="H3561" s="133" t="s">
        <v>85</v>
      </c>
    </row>
    <row r="3562" spans="1:8">
      <c r="A3562" s="130" t="s">
        <v>123</v>
      </c>
      <c r="B3562" s="130" t="s">
        <v>69</v>
      </c>
      <c r="C3562" s="130" t="s">
        <v>104</v>
      </c>
      <c r="D3562" s="130" t="s">
        <v>105</v>
      </c>
      <c r="E3562" s="130" t="s">
        <v>227</v>
      </c>
      <c r="F3562" s="130" t="s">
        <v>122</v>
      </c>
      <c r="G3562" s="130" t="s">
        <v>536</v>
      </c>
      <c r="H3562" s="130" t="s">
        <v>227</v>
      </c>
    </row>
    <row r="3563" spans="1:8">
      <c r="A3563" s="130" t="s">
        <v>124</v>
      </c>
      <c r="B3563" s="130" t="s">
        <v>70</v>
      </c>
      <c r="C3563" s="130" t="s">
        <v>104</v>
      </c>
      <c r="D3563" s="130" t="s">
        <v>105</v>
      </c>
      <c r="E3563" s="130" t="s">
        <v>101</v>
      </c>
      <c r="F3563" s="130" t="s">
        <v>125</v>
      </c>
      <c r="G3563" s="130" t="s">
        <v>125</v>
      </c>
      <c r="H3563" s="130" t="s">
        <v>101</v>
      </c>
    </row>
    <row r="3564" spans="1:8">
      <c r="A3564" s="130" t="s">
        <v>480</v>
      </c>
      <c r="B3564" s="130" t="s">
        <v>481</v>
      </c>
      <c r="C3564" s="130" t="s">
        <v>87</v>
      </c>
      <c r="D3564" s="130" t="s">
        <v>3</v>
      </c>
      <c r="E3564" s="130" t="s">
        <v>295</v>
      </c>
      <c r="F3564" s="130" t="s">
        <v>537</v>
      </c>
      <c r="G3564" s="130" t="s">
        <v>356</v>
      </c>
      <c r="H3564" s="130" t="s">
        <v>295</v>
      </c>
    </row>
    <row r="3565" spans="1:8">
      <c r="A3565" s="130" t="s">
        <v>482</v>
      </c>
      <c r="B3565" s="130" t="s">
        <v>483</v>
      </c>
      <c r="C3565" s="130" t="s">
        <v>87</v>
      </c>
      <c r="D3565" s="130" t="s">
        <v>102</v>
      </c>
      <c r="E3565" s="130" t="s">
        <v>538</v>
      </c>
      <c r="F3565" s="130" t="s">
        <v>477</v>
      </c>
      <c r="G3565" s="130" t="s">
        <v>539</v>
      </c>
      <c r="H3565" s="130" t="s">
        <v>538</v>
      </c>
    </row>
    <row r="3566" spans="1:8">
      <c r="A3566" s="130" t="s">
        <v>551</v>
      </c>
      <c r="B3566" s="130" t="s">
        <v>552</v>
      </c>
      <c r="C3566" s="130" t="s">
        <v>87</v>
      </c>
      <c r="D3566" s="130" t="s">
        <v>12</v>
      </c>
      <c r="E3566" s="130" t="s">
        <v>101</v>
      </c>
      <c r="F3566" s="130" t="s">
        <v>553</v>
      </c>
      <c r="G3566" s="130" t="s">
        <v>553</v>
      </c>
      <c r="H3566" s="130" t="s">
        <v>101</v>
      </c>
    </row>
    <row r="3567" spans="1:8">
      <c r="A3567" s="130"/>
      <c r="B3567" s="130"/>
      <c r="C3567" s="130"/>
      <c r="D3567" s="130"/>
      <c r="E3567" s="130"/>
      <c r="F3567" s="130" t="s">
        <v>90</v>
      </c>
      <c r="G3567" s="130" t="s">
        <v>543</v>
      </c>
      <c r="H3567" s="130"/>
    </row>
    <row r="3568" spans="1:8">
      <c r="A3568" s="130"/>
      <c r="B3568" s="130"/>
      <c r="C3568" s="130"/>
      <c r="D3568" s="130"/>
      <c r="E3568" s="130"/>
      <c r="F3568" s="130" t="s">
        <v>92</v>
      </c>
      <c r="G3568" s="130" t="s">
        <v>554</v>
      </c>
      <c r="H3568" s="130"/>
    </row>
    <row r="3569" spans="1:8">
      <c r="A3569" s="130"/>
      <c r="B3569" s="130"/>
      <c r="C3569" s="130"/>
      <c r="D3569" s="130"/>
      <c r="E3569" s="130"/>
      <c r="F3569" s="130" t="s">
        <v>93</v>
      </c>
      <c r="G3569" s="130" t="s">
        <v>555</v>
      </c>
      <c r="H3569" s="130"/>
    </row>
    <row r="3570" spans="1:8">
      <c r="A3570" s="130"/>
      <c r="B3570" s="130"/>
      <c r="C3570" s="130"/>
      <c r="D3570" s="130"/>
      <c r="E3570" s="130"/>
      <c r="F3570" s="130"/>
      <c r="G3570" s="130"/>
      <c r="H3570" s="130"/>
    </row>
    <row r="3571" spans="1:8">
      <c r="A3571" s="1202" t="s">
        <v>94</v>
      </c>
      <c r="B3571" s="1203"/>
      <c r="C3571" s="1203"/>
      <c r="D3571" s="1203"/>
      <c r="E3571" s="1203"/>
      <c r="F3571" s="1203"/>
      <c r="G3571" s="1203"/>
      <c r="H3571" s="1203"/>
    </row>
    <row r="3572" spans="1:8">
      <c r="A3572" s="130" t="s">
        <v>95</v>
      </c>
      <c r="B3572" s="130" t="s">
        <v>555</v>
      </c>
      <c r="C3572" s="130"/>
      <c r="D3572" s="130"/>
      <c r="E3572" s="130"/>
      <c r="F3572" s="130"/>
      <c r="G3572" s="130"/>
      <c r="H3572" s="130"/>
    </row>
    <row r="3573" spans="1:8">
      <c r="A3573" s="130" t="s">
        <v>96</v>
      </c>
      <c r="B3573" s="130" t="s">
        <v>546</v>
      </c>
      <c r="C3573" s="130"/>
      <c r="D3573" s="130"/>
      <c r="E3573" s="130"/>
      <c r="F3573" s="130"/>
      <c r="G3573" s="130"/>
      <c r="H3573" s="130"/>
    </row>
    <row r="3574" spans="1:8">
      <c r="A3574" s="130" t="s">
        <v>97</v>
      </c>
      <c r="B3574" s="130" t="s">
        <v>556</v>
      </c>
      <c r="C3574" s="130"/>
      <c r="D3574" s="130"/>
      <c r="E3574" s="130"/>
      <c r="F3574" s="130"/>
      <c r="G3574" s="130"/>
      <c r="H3574" s="130"/>
    </row>
    <row r="3575" spans="1:8">
      <c r="A3575" s="130" t="s">
        <v>98</v>
      </c>
      <c r="B3575" s="130" t="s">
        <v>557</v>
      </c>
      <c r="C3575" s="130"/>
      <c r="D3575" s="130"/>
      <c r="E3575" s="130"/>
      <c r="F3575" s="130"/>
      <c r="G3575" s="130"/>
      <c r="H3575" s="130"/>
    </row>
    <row r="3576" spans="1:8">
      <c r="A3576" s="130"/>
      <c r="B3576" s="130"/>
      <c r="C3576" s="130"/>
      <c r="D3576" s="130"/>
      <c r="E3576" s="130"/>
      <c r="F3576" s="130"/>
      <c r="G3576" s="130"/>
      <c r="H3576" s="130"/>
    </row>
    <row r="3577" spans="1:8">
      <c r="A3577" s="1252" t="s">
        <v>534</v>
      </c>
      <c r="B3577" s="1253"/>
      <c r="C3577" s="1253"/>
      <c r="D3577" s="1253"/>
      <c r="E3577" s="1253"/>
      <c r="F3577" s="1253"/>
      <c r="G3577" s="1253"/>
      <c r="H3577" s="1253"/>
    </row>
    <row r="3578" spans="1:8">
      <c r="A3578" s="1252" t="s">
        <v>535</v>
      </c>
      <c r="B3578" s="1253"/>
      <c r="C3578" s="1253"/>
      <c r="D3578" s="1253"/>
      <c r="E3578" s="1253"/>
      <c r="F3578" s="1253"/>
      <c r="G3578" s="1253"/>
      <c r="H3578" s="1253"/>
    </row>
    <row r="3580" spans="1:8">
      <c r="A3580" s="1253" t="s">
        <v>119</v>
      </c>
      <c r="B3580" s="1253"/>
      <c r="C3580" s="1253"/>
      <c r="D3580" s="1253"/>
      <c r="E3580" s="1253"/>
      <c r="F3580" s="1253"/>
      <c r="G3580" s="1253"/>
      <c r="H3580" s="1253"/>
    </row>
    <row r="3582" spans="1:8">
      <c r="A3582" s="1253" t="s">
        <v>161</v>
      </c>
      <c r="B3582" s="1253"/>
      <c r="C3582" s="1253"/>
      <c r="D3582" s="1253"/>
      <c r="E3582" s="1253"/>
      <c r="F3582" s="1253"/>
      <c r="G3582" s="1253"/>
      <c r="H3582" s="1253"/>
    </row>
    <row r="3584" spans="1:8">
      <c r="A3584" s="135" t="s">
        <v>30</v>
      </c>
      <c r="B3584" s="135" t="s">
        <v>19</v>
      </c>
      <c r="C3584" s="135" t="s">
        <v>81</v>
      </c>
      <c r="D3584" s="135" t="s">
        <v>77</v>
      </c>
      <c r="E3584" s="135" t="s">
        <v>82</v>
      </c>
      <c r="F3584" s="135" t="s">
        <v>83</v>
      </c>
      <c r="G3584" s="135" t="s">
        <v>84</v>
      </c>
      <c r="H3584" s="135" t="s">
        <v>85</v>
      </c>
    </row>
    <row r="3585" spans="1:8">
      <c r="A3585" s="136" t="s">
        <v>123</v>
      </c>
      <c r="B3585" s="136" t="s">
        <v>69</v>
      </c>
      <c r="C3585" s="136" t="s">
        <v>104</v>
      </c>
      <c r="D3585" s="136" t="s">
        <v>105</v>
      </c>
      <c r="E3585" s="136" t="s">
        <v>227</v>
      </c>
      <c r="F3585" s="136" t="s">
        <v>122</v>
      </c>
      <c r="G3585" s="136" t="s">
        <v>536</v>
      </c>
      <c r="H3585" s="136" t="s">
        <v>227</v>
      </c>
    </row>
    <row r="3586" spans="1:8">
      <c r="A3586" s="136" t="s">
        <v>124</v>
      </c>
      <c r="B3586" s="136" t="s">
        <v>70</v>
      </c>
      <c r="C3586" s="136" t="s">
        <v>104</v>
      </c>
      <c r="D3586" s="136" t="s">
        <v>105</v>
      </c>
      <c r="E3586" s="136" t="s">
        <v>101</v>
      </c>
      <c r="F3586" s="136" t="s">
        <v>125</v>
      </c>
      <c r="G3586" s="136" t="s">
        <v>125</v>
      </c>
      <c r="H3586" s="136" t="s">
        <v>101</v>
      </c>
    </row>
    <row r="3587" spans="1:8">
      <c r="A3587" s="136" t="s">
        <v>480</v>
      </c>
      <c r="B3587" s="136" t="s">
        <v>481</v>
      </c>
      <c r="C3587" s="136" t="s">
        <v>87</v>
      </c>
      <c r="D3587" s="136" t="s">
        <v>3</v>
      </c>
      <c r="E3587" s="136" t="s">
        <v>295</v>
      </c>
      <c r="F3587" s="136" t="s">
        <v>537</v>
      </c>
      <c r="G3587" s="136" t="s">
        <v>356</v>
      </c>
      <c r="H3587" s="136" t="s">
        <v>295</v>
      </c>
    </row>
    <row r="3588" spans="1:8">
      <c r="A3588" s="136" t="s">
        <v>482</v>
      </c>
      <c r="B3588" s="136" t="s">
        <v>483</v>
      </c>
      <c r="C3588" s="136" t="s">
        <v>87</v>
      </c>
      <c r="D3588" s="136" t="s">
        <v>102</v>
      </c>
      <c r="E3588" s="136" t="s">
        <v>538</v>
      </c>
      <c r="F3588" s="136" t="s">
        <v>477</v>
      </c>
      <c r="G3588" s="136" t="s">
        <v>539</v>
      </c>
      <c r="H3588" s="136" t="s">
        <v>538</v>
      </c>
    </row>
    <row r="3589" spans="1:8">
      <c r="A3589" s="136" t="s">
        <v>540</v>
      </c>
      <c r="B3589" s="136" t="s">
        <v>541</v>
      </c>
      <c r="C3589" s="136" t="s">
        <v>87</v>
      </c>
      <c r="D3589" s="136" t="s">
        <v>12</v>
      </c>
      <c r="E3589" s="136" t="s">
        <v>101</v>
      </c>
      <c r="F3589" s="136" t="s">
        <v>542</v>
      </c>
      <c r="G3589" s="136" t="s">
        <v>542</v>
      </c>
      <c r="H3589" s="136" t="s">
        <v>101</v>
      </c>
    </row>
    <row r="3590" spans="1:8">
      <c r="A3590" s="136"/>
      <c r="B3590" s="136"/>
      <c r="C3590" s="136"/>
      <c r="D3590" s="136"/>
      <c r="E3590" s="136"/>
      <c r="F3590" s="136" t="s">
        <v>90</v>
      </c>
      <c r="G3590" s="136" t="s">
        <v>543</v>
      </c>
      <c r="H3590" s="136"/>
    </row>
    <row r="3591" spans="1:8">
      <c r="A3591" s="136"/>
      <c r="B3591" s="136"/>
      <c r="C3591" s="136"/>
      <c r="D3591" s="136"/>
      <c r="E3591" s="136"/>
      <c r="F3591" s="136" t="s">
        <v>92</v>
      </c>
      <c r="G3591" s="136" t="s">
        <v>544</v>
      </c>
      <c r="H3591" s="136"/>
    </row>
    <row r="3592" spans="1:8">
      <c r="A3592" s="136"/>
      <c r="B3592" s="136"/>
      <c r="C3592" s="136"/>
      <c r="D3592" s="136"/>
      <c r="E3592" s="136"/>
      <c r="F3592" s="136" t="s">
        <v>93</v>
      </c>
      <c r="G3592" s="136" t="s">
        <v>545</v>
      </c>
      <c r="H3592" s="136"/>
    </row>
    <row r="3594" spans="1:8">
      <c r="A3594" s="1252" t="s">
        <v>94</v>
      </c>
      <c r="B3594" s="1253"/>
      <c r="C3594" s="1253"/>
      <c r="D3594" s="1253"/>
      <c r="E3594" s="1253"/>
      <c r="F3594" s="1253"/>
      <c r="G3594" s="1253"/>
      <c r="H3594" s="1253"/>
    </row>
    <row r="3595" spans="1:8">
      <c r="A3595" s="136" t="s">
        <v>95</v>
      </c>
      <c r="B3595" s="136" t="s">
        <v>545</v>
      </c>
      <c r="C3595" s="136"/>
      <c r="D3595" s="136"/>
      <c r="E3595" s="136"/>
      <c r="F3595" s="136"/>
      <c r="G3595" s="136"/>
      <c r="H3595" s="136"/>
    </row>
    <row r="3596" spans="1:8">
      <c r="A3596" s="136" t="s">
        <v>96</v>
      </c>
      <c r="B3596" s="136" t="s">
        <v>546</v>
      </c>
      <c r="C3596" s="136"/>
      <c r="D3596" s="136"/>
      <c r="E3596" s="136"/>
      <c r="F3596" s="136"/>
      <c r="G3596" s="136"/>
      <c r="H3596" s="136"/>
    </row>
    <row r="3597" spans="1:8">
      <c r="A3597" s="136" t="s">
        <v>97</v>
      </c>
      <c r="B3597" s="136" t="s">
        <v>547</v>
      </c>
      <c r="C3597" s="136"/>
      <c r="D3597" s="136"/>
      <c r="E3597" s="136"/>
      <c r="F3597" s="136"/>
      <c r="G3597" s="136"/>
      <c r="H3597" s="136"/>
    </row>
    <row r="3598" spans="1:8">
      <c r="A3598" s="136" t="s">
        <v>98</v>
      </c>
      <c r="B3598" s="136" t="s">
        <v>548</v>
      </c>
      <c r="C3598" s="136"/>
      <c r="D3598" s="136"/>
      <c r="E3598" s="136"/>
      <c r="F3598" s="136"/>
      <c r="G3598" s="136"/>
      <c r="H3598" s="136"/>
    </row>
    <row r="3600" spans="1:8">
      <c r="A3600" s="1202" t="s">
        <v>587</v>
      </c>
      <c r="B3600" s="1203"/>
      <c r="C3600" s="1203"/>
      <c r="D3600" s="1203"/>
      <c r="E3600" s="1203"/>
      <c r="F3600" s="1203"/>
      <c r="G3600" s="1203"/>
      <c r="H3600" s="1203"/>
    </row>
    <row r="3601" spans="1:8">
      <c r="A3601" s="1202" t="s">
        <v>558</v>
      </c>
      <c r="B3601" s="1203"/>
      <c r="C3601" s="1203"/>
      <c r="D3601" s="1203"/>
      <c r="E3601" s="1203"/>
      <c r="F3601" s="1203"/>
      <c r="G3601" s="1203"/>
      <c r="H3601" s="1203"/>
    </row>
    <row r="3603" spans="1:8">
      <c r="A3603" s="1203" t="s">
        <v>80</v>
      </c>
      <c r="B3603" s="1203"/>
      <c r="C3603" s="1203"/>
      <c r="D3603" s="1203"/>
      <c r="E3603" s="1203"/>
      <c r="F3603" s="1203"/>
      <c r="G3603" s="1203"/>
      <c r="H3603" s="1203"/>
    </row>
    <row r="3605" spans="1:8">
      <c r="A3605" s="1203" t="s">
        <v>99</v>
      </c>
      <c r="B3605" s="1203"/>
      <c r="C3605" s="1203"/>
      <c r="D3605" s="1203"/>
      <c r="E3605" s="1203"/>
      <c r="F3605" s="1203"/>
      <c r="G3605" s="1203"/>
      <c r="H3605" s="1203"/>
    </row>
    <row r="3607" spans="1:8">
      <c r="A3607" s="133" t="s">
        <v>30</v>
      </c>
      <c r="B3607" s="133" t="s">
        <v>19</v>
      </c>
      <c r="C3607" s="133" t="s">
        <v>81</v>
      </c>
      <c r="D3607" s="133" t="s">
        <v>77</v>
      </c>
      <c r="E3607" s="133" t="s">
        <v>82</v>
      </c>
      <c r="F3607" s="133" t="s">
        <v>83</v>
      </c>
      <c r="G3607" s="133" t="s">
        <v>84</v>
      </c>
      <c r="H3607" s="133" t="s">
        <v>85</v>
      </c>
    </row>
    <row r="3608" spans="1:8">
      <c r="A3608" s="130" t="s">
        <v>559</v>
      </c>
      <c r="B3608" s="130" t="s">
        <v>560</v>
      </c>
      <c r="C3608" s="130" t="s">
        <v>87</v>
      </c>
      <c r="D3608" s="130" t="s">
        <v>561</v>
      </c>
      <c r="E3608" s="130" t="s">
        <v>562</v>
      </c>
      <c r="F3608" s="130" t="s">
        <v>563</v>
      </c>
      <c r="G3608" s="130" t="s">
        <v>564</v>
      </c>
      <c r="H3608" s="130" t="s">
        <v>562</v>
      </c>
    </row>
    <row r="3609" spans="1:8">
      <c r="A3609" s="130" t="s">
        <v>565</v>
      </c>
      <c r="B3609" s="130" t="s">
        <v>566</v>
      </c>
      <c r="C3609" s="130" t="s">
        <v>87</v>
      </c>
      <c r="D3609" s="130" t="s">
        <v>4</v>
      </c>
      <c r="E3609" s="130" t="s">
        <v>567</v>
      </c>
      <c r="F3609" s="130" t="s">
        <v>568</v>
      </c>
      <c r="G3609" s="130" t="s">
        <v>569</v>
      </c>
      <c r="H3609" s="130" t="s">
        <v>567</v>
      </c>
    </row>
    <row r="3610" spans="1:8">
      <c r="A3610" s="130" t="s">
        <v>570</v>
      </c>
      <c r="B3610" s="130" t="s">
        <v>571</v>
      </c>
      <c r="C3610" s="130" t="s">
        <v>87</v>
      </c>
      <c r="D3610" s="130" t="s">
        <v>100</v>
      </c>
      <c r="E3610" s="130" t="s">
        <v>101</v>
      </c>
      <c r="F3610" s="130" t="s">
        <v>572</v>
      </c>
      <c r="G3610" s="130" t="s">
        <v>572</v>
      </c>
      <c r="H3610" s="130" t="s">
        <v>101</v>
      </c>
    </row>
    <row r="3611" spans="1:8">
      <c r="A3611" s="130" t="s">
        <v>248</v>
      </c>
      <c r="B3611" s="130" t="s">
        <v>249</v>
      </c>
      <c r="C3611" s="130" t="s">
        <v>87</v>
      </c>
      <c r="D3611" s="130" t="s">
        <v>5</v>
      </c>
      <c r="E3611" s="130" t="s">
        <v>573</v>
      </c>
      <c r="F3611" s="130" t="s">
        <v>251</v>
      </c>
      <c r="G3611" s="130" t="s">
        <v>574</v>
      </c>
      <c r="H3611" s="130" t="s">
        <v>573</v>
      </c>
    </row>
    <row r="3612" spans="1:8">
      <c r="A3612" s="130" t="s">
        <v>117</v>
      </c>
      <c r="B3612" s="130" t="s">
        <v>118</v>
      </c>
      <c r="C3612" s="130" t="s">
        <v>108</v>
      </c>
      <c r="D3612" s="130" t="s">
        <v>105</v>
      </c>
      <c r="E3612" s="130" t="s">
        <v>575</v>
      </c>
      <c r="F3612" s="130" t="s">
        <v>576</v>
      </c>
      <c r="G3612" s="130" t="s">
        <v>577</v>
      </c>
      <c r="H3612" s="130" t="s">
        <v>575</v>
      </c>
    </row>
    <row r="3613" spans="1:8">
      <c r="A3613" s="130" t="s">
        <v>109</v>
      </c>
      <c r="B3613" s="130" t="s">
        <v>110</v>
      </c>
      <c r="C3613" s="130" t="s">
        <v>108</v>
      </c>
      <c r="D3613" s="130" t="s">
        <v>105</v>
      </c>
      <c r="E3613" s="130" t="s">
        <v>578</v>
      </c>
      <c r="F3613" s="130" t="s">
        <v>579</v>
      </c>
      <c r="G3613" s="130" t="s">
        <v>580</v>
      </c>
      <c r="H3613" s="130" t="s">
        <v>578</v>
      </c>
    </row>
    <row r="3614" spans="1:8">
      <c r="A3614" s="130"/>
      <c r="B3614" s="130"/>
      <c r="C3614" s="130"/>
      <c r="D3614" s="130"/>
      <c r="E3614" s="130"/>
      <c r="F3614" s="130" t="s">
        <v>90</v>
      </c>
      <c r="G3614" s="130" t="s">
        <v>581</v>
      </c>
      <c r="H3614" s="130"/>
    </row>
    <row r="3615" spans="1:8">
      <c r="A3615" s="130"/>
      <c r="B3615" s="130"/>
      <c r="C3615" s="130"/>
      <c r="D3615" s="130"/>
      <c r="E3615" s="130"/>
      <c r="F3615" s="130" t="s">
        <v>92</v>
      </c>
      <c r="G3615" s="130" t="s">
        <v>582</v>
      </c>
      <c r="H3615" s="130"/>
    </row>
    <row r="3616" spans="1:8">
      <c r="A3616" s="130"/>
      <c r="B3616" s="130"/>
      <c r="C3616" s="130"/>
      <c r="D3616" s="130"/>
      <c r="E3616" s="130"/>
      <c r="F3616" s="130" t="s">
        <v>93</v>
      </c>
      <c r="G3616" s="130" t="s">
        <v>583</v>
      </c>
      <c r="H3616" s="130"/>
    </row>
    <row r="3617" spans="1:8">
      <c r="A3617" s="130"/>
      <c r="B3617" s="130"/>
      <c r="C3617" s="130"/>
      <c r="D3617" s="130"/>
      <c r="E3617" s="130"/>
      <c r="F3617" s="130"/>
      <c r="G3617" s="130"/>
      <c r="H3617" s="130"/>
    </row>
    <row r="3618" spans="1:8">
      <c r="A3618" s="1202" t="s">
        <v>94</v>
      </c>
      <c r="B3618" s="1203"/>
      <c r="C3618" s="1203"/>
      <c r="D3618" s="1203"/>
      <c r="E3618" s="1203"/>
      <c r="F3618" s="1203"/>
      <c r="G3618" s="1203"/>
      <c r="H3618" s="1203"/>
    </row>
    <row r="3619" spans="1:8">
      <c r="A3619" s="130" t="s">
        <v>95</v>
      </c>
      <c r="B3619" s="130" t="s">
        <v>583</v>
      </c>
      <c r="C3619" s="130"/>
      <c r="D3619" s="130"/>
      <c r="E3619" s="130"/>
      <c r="F3619" s="130"/>
      <c r="G3619" s="130"/>
      <c r="H3619" s="130"/>
    </row>
    <row r="3620" spans="1:8">
      <c r="A3620" s="130" t="s">
        <v>96</v>
      </c>
      <c r="B3620" s="130" t="s">
        <v>584</v>
      </c>
      <c r="C3620" s="130"/>
      <c r="D3620" s="130"/>
      <c r="E3620" s="130"/>
      <c r="F3620" s="130"/>
      <c r="G3620" s="130"/>
      <c r="H3620" s="130"/>
    </row>
    <row r="3621" spans="1:8">
      <c r="A3621" s="130" t="s">
        <v>97</v>
      </c>
      <c r="B3621" s="130" t="s">
        <v>585</v>
      </c>
      <c r="C3621" s="130"/>
      <c r="D3621" s="130"/>
      <c r="E3621" s="130"/>
      <c r="F3621" s="130"/>
      <c r="G3621" s="130"/>
      <c r="H3621" s="130"/>
    </row>
    <row r="3622" spans="1:8">
      <c r="A3622" s="130" t="s">
        <v>98</v>
      </c>
      <c r="B3622" s="130" t="s">
        <v>586</v>
      </c>
      <c r="C3622" s="130"/>
      <c r="D3622" s="130"/>
      <c r="E3622" s="130"/>
      <c r="F3622" s="130"/>
      <c r="G3622" s="130"/>
      <c r="H3622" s="130"/>
    </row>
    <row r="3626" spans="1:8">
      <c r="A3626" s="1202" t="s">
        <v>588</v>
      </c>
      <c r="B3626" s="1203"/>
      <c r="C3626" s="1203"/>
      <c r="D3626" s="1203"/>
      <c r="E3626" s="1203"/>
      <c r="F3626" s="1203"/>
      <c r="G3626" s="1203"/>
      <c r="H3626" s="1203"/>
    </row>
    <row r="3627" spans="1:8">
      <c r="A3627" s="1202" t="s">
        <v>589</v>
      </c>
      <c r="B3627" s="1203"/>
      <c r="C3627" s="1203"/>
      <c r="D3627" s="1203"/>
      <c r="E3627" s="1203"/>
      <c r="F3627" s="1203"/>
      <c r="G3627" s="1203"/>
      <c r="H3627" s="1203"/>
    </row>
    <row r="3629" spans="1:8">
      <c r="A3629" s="1203" t="s">
        <v>80</v>
      </c>
      <c r="B3629" s="1203"/>
      <c r="C3629" s="1203"/>
      <c r="D3629" s="1203"/>
      <c r="E3629" s="1203"/>
      <c r="F3629" s="1203"/>
      <c r="G3629" s="1203"/>
      <c r="H3629" s="1203"/>
    </row>
    <row r="3631" spans="1:8">
      <c r="A3631" s="1203" t="s">
        <v>120</v>
      </c>
      <c r="B3631" s="1203"/>
      <c r="C3631" s="1203"/>
      <c r="D3631" s="1203"/>
      <c r="E3631" s="1203"/>
      <c r="F3631" s="1203"/>
      <c r="G3631" s="1203"/>
      <c r="H3631" s="1203"/>
    </row>
    <row r="3633" spans="1:8">
      <c r="A3633" s="133" t="s">
        <v>30</v>
      </c>
      <c r="B3633" s="133" t="s">
        <v>19</v>
      </c>
      <c r="C3633" s="133" t="s">
        <v>81</v>
      </c>
      <c r="D3633" s="133" t="s">
        <v>77</v>
      </c>
      <c r="E3633" s="133" t="s">
        <v>82</v>
      </c>
      <c r="F3633" s="133" t="s">
        <v>83</v>
      </c>
      <c r="G3633" s="133" t="s">
        <v>84</v>
      </c>
      <c r="H3633" s="133" t="s">
        <v>85</v>
      </c>
    </row>
    <row r="3634" spans="1:8">
      <c r="A3634" s="130" t="s">
        <v>590</v>
      </c>
      <c r="B3634" s="130" t="s">
        <v>591</v>
      </c>
      <c r="C3634" s="130" t="s">
        <v>108</v>
      </c>
      <c r="D3634" s="130" t="s">
        <v>5</v>
      </c>
      <c r="E3634" s="130" t="s">
        <v>101</v>
      </c>
      <c r="F3634" s="130" t="s">
        <v>592</v>
      </c>
      <c r="G3634" s="130" t="s">
        <v>592</v>
      </c>
      <c r="H3634" s="130" t="s">
        <v>101</v>
      </c>
    </row>
    <row r="3635" spans="1:8">
      <c r="A3635" s="130" t="s">
        <v>593</v>
      </c>
      <c r="B3635" s="130" t="s">
        <v>594</v>
      </c>
      <c r="C3635" s="130" t="s">
        <v>108</v>
      </c>
      <c r="D3635" s="130" t="s">
        <v>5</v>
      </c>
      <c r="E3635" s="130" t="s">
        <v>101</v>
      </c>
      <c r="F3635" s="130" t="s">
        <v>595</v>
      </c>
      <c r="G3635" s="130" t="s">
        <v>595</v>
      </c>
      <c r="H3635" s="130" t="s">
        <v>101</v>
      </c>
    </row>
    <row r="3636" spans="1:8">
      <c r="A3636" s="130" t="s">
        <v>596</v>
      </c>
      <c r="B3636" s="130" t="s">
        <v>597</v>
      </c>
      <c r="C3636" s="130" t="s">
        <v>108</v>
      </c>
      <c r="D3636" s="130" t="s">
        <v>5</v>
      </c>
      <c r="E3636" s="130" t="s">
        <v>101</v>
      </c>
      <c r="F3636" s="130" t="s">
        <v>598</v>
      </c>
      <c r="G3636" s="130" t="s">
        <v>598</v>
      </c>
      <c r="H3636" s="130" t="s">
        <v>101</v>
      </c>
    </row>
    <row r="3637" spans="1:8">
      <c r="A3637" s="130" t="s">
        <v>599</v>
      </c>
      <c r="B3637" s="130" t="s">
        <v>600</v>
      </c>
      <c r="C3637" s="130" t="s">
        <v>108</v>
      </c>
      <c r="D3637" s="130" t="s">
        <v>5</v>
      </c>
      <c r="E3637" s="130" t="s">
        <v>106</v>
      </c>
      <c r="F3637" s="130" t="s">
        <v>601</v>
      </c>
      <c r="G3637" s="130" t="s">
        <v>602</v>
      </c>
      <c r="H3637" s="130" t="s">
        <v>106</v>
      </c>
    </row>
    <row r="3638" spans="1:8">
      <c r="A3638" s="130"/>
      <c r="B3638" s="130"/>
      <c r="C3638" s="130"/>
      <c r="D3638" s="130"/>
      <c r="E3638" s="130"/>
      <c r="F3638" s="130" t="s">
        <v>90</v>
      </c>
      <c r="G3638" s="130" t="s">
        <v>603</v>
      </c>
      <c r="H3638" s="130"/>
    </row>
    <row r="3639" spans="1:8">
      <c r="A3639" s="130"/>
      <c r="B3639" s="130"/>
      <c r="C3639" s="130"/>
      <c r="D3639" s="130"/>
      <c r="E3639" s="130"/>
      <c r="F3639" s="130" t="s">
        <v>92</v>
      </c>
      <c r="G3639" s="130" t="s">
        <v>604</v>
      </c>
      <c r="H3639" s="130"/>
    </row>
    <row r="3640" spans="1:8">
      <c r="A3640" s="130"/>
      <c r="B3640" s="130"/>
      <c r="C3640" s="130"/>
      <c r="D3640" s="130"/>
      <c r="E3640" s="130"/>
      <c r="F3640" s="130" t="s">
        <v>93</v>
      </c>
      <c r="G3640" s="130" t="s">
        <v>605</v>
      </c>
      <c r="H3640" s="130"/>
    </row>
    <row r="3642" spans="1:8">
      <c r="A3642" s="1202" t="s">
        <v>94</v>
      </c>
      <c r="B3642" s="1203"/>
      <c r="C3642" s="1203"/>
      <c r="D3642" s="1203"/>
      <c r="E3642" s="1203"/>
      <c r="F3642" s="1203"/>
      <c r="G3642" s="1203"/>
      <c r="H3642" s="1203"/>
    </row>
    <row r="3643" spans="1:8">
      <c r="A3643" s="130" t="s">
        <v>95</v>
      </c>
      <c r="B3643" s="130" t="s">
        <v>605</v>
      </c>
      <c r="C3643" s="130"/>
      <c r="D3643" s="130"/>
      <c r="E3643" s="130"/>
      <c r="F3643" s="130"/>
      <c r="G3643" s="130"/>
      <c r="H3643" s="130"/>
    </row>
    <row r="3644" spans="1:8">
      <c r="A3644" s="130" t="s">
        <v>96</v>
      </c>
      <c r="B3644" s="130" t="s">
        <v>606</v>
      </c>
      <c r="C3644" s="130"/>
      <c r="D3644" s="130"/>
      <c r="E3644" s="130"/>
      <c r="F3644" s="130"/>
      <c r="G3644" s="130"/>
      <c r="H3644" s="130"/>
    </row>
    <row r="3645" spans="1:8">
      <c r="A3645" s="130" t="s">
        <v>97</v>
      </c>
      <c r="B3645" s="130" t="s">
        <v>607</v>
      </c>
      <c r="C3645" s="130"/>
      <c r="D3645" s="130"/>
      <c r="E3645" s="130"/>
      <c r="F3645" s="130"/>
      <c r="G3645" s="130"/>
      <c r="H3645" s="130"/>
    </row>
    <row r="3646" spans="1:8">
      <c r="A3646" s="130" t="s">
        <v>98</v>
      </c>
      <c r="B3646" s="130" t="s">
        <v>608</v>
      </c>
      <c r="C3646" s="130"/>
      <c r="D3646" s="130"/>
      <c r="E3646" s="130"/>
      <c r="F3646" s="130"/>
      <c r="G3646" s="130"/>
      <c r="H3646" s="130"/>
    </row>
    <row r="3649" spans="1:8">
      <c r="A3649" s="1202" t="s">
        <v>611</v>
      </c>
      <c r="B3649" s="1203"/>
      <c r="C3649" s="1203"/>
      <c r="D3649" s="1203"/>
      <c r="E3649" s="1203"/>
      <c r="F3649" s="1203"/>
      <c r="G3649" s="1203"/>
      <c r="H3649" s="1203"/>
    </row>
    <row r="3650" spans="1:8">
      <c r="A3650" s="1202" t="s">
        <v>612</v>
      </c>
      <c r="B3650" s="1203"/>
      <c r="C3650" s="1203"/>
      <c r="D3650" s="1203"/>
      <c r="E3650" s="1203"/>
      <c r="F3650" s="1203"/>
      <c r="G3650" s="1203"/>
      <c r="H3650" s="1203"/>
    </row>
    <row r="3652" spans="1:8">
      <c r="A3652" s="1203" t="s">
        <v>80</v>
      </c>
      <c r="B3652" s="1203"/>
      <c r="C3652" s="1203"/>
      <c r="D3652" s="1203"/>
      <c r="E3652" s="1203"/>
      <c r="F3652" s="1203"/>
      <c r="G3652" s="1203"/>
      <c r="H3652" s="1203"/>
    </row>
    <row r="3654" spans="1:8">
      <c r="A3654" s="1203" t="s">
        <v>99</v>
      </c>
      <c r="B3654" s="1203"/>
      <c r="C3654" s="1203"/>
      <c r="D3654" s="1203"/>
      <c r="E3654" s="1203"/>
      <c r="F3654" s="1203"/>
      <c r="G3654" s="1203"/>
      <c r="H3654" s="1203"/>
    </row>
    <row r="3656" spans="1:8">
      <c r="A3656" s="133" t="s">
        <v>30</v>
      </c>
      <c r="B3656" s="133" t="s">
        <v>19</v>
      </c>
      <c r="C3656" s="133" t="s">
        <v>81</v>
      </c>
      <c r="D3656" s="133" t="s">
        <v>77</v>
      </c>
      <c r="E3656" s="133" t="s">
        <v>82</v>
      </c>
      <c r="F3656" s="133" t="s">
        <v>83</v>
      </c>
      <c r="G3656" s="133" t="s">
        <v>84</v>
      </c>
      <c r="H3656" s="133" t="s">
        <v>85</v>
      </c>
    </row>
    <row r="3657" spans="1:8">
      <c r="A3657" s="130" t="s">
        <v>613</v>
      </c>
      <c r="B3657" s="130" t="s">
        <v>614</v>
      </c>
      <c r="C3657" s="130" t="s">
        <v>87</v>
      </c>
      <c r="D3657" s="130" t="s">
        <v>102</v>
      </c>
      <c r="E3657" s="130" t="s">
        <v>111</v>
      </c>
      <c r="F3657" s="130" t="s">
        <v>615</v>
      </c>
      <c r="G3657" s="130" t="s">
        <v>251</v>
      </c>
      <c r="H3657" s="130" t="s">
        <v>111</v>
      </c>
    </row>
    <row r="3658" spans="1:8">
      <c r="A3658" s="130" t="s">
        <v>616</v>
      </c>
      <c r="B3658" s="130" t="s">
        <v>617</v>
      </c>
      <c r="C3658" s="130" t="s">
        <v>87</v>
      </c>
      <c r="D3658" s="130" t="s">
        <v>102</v>
      </c>
      <c r="E3658" s="130" t="s">
        <v>618</v>
      </c>
      <c r="F3658" s="130" t="s">
        <v>619</v>
      </c>
      <c r="G3658" s="130" t="s">
        <v>620</v>
      </c>
      <c r="H3658" s="130" t="s">
        <v>618</v>
      </c>
    </row>
    <row r="3659" spans="1:8">
      <c r="A3659" s="130" t="s">
        <v>621</v>
      </c>
      <c r="B3659" s="130" t="s">
        <v>622</v>
      </c>
      <c r="C3659" s="130" t="s">
        <v>87</v>
      </c>
      <c r="D3659" s="130" t="s">
        <v>100</v>
      </c>
      <c r="E3659" s="130" t="s">
        <v>623</v>
      </c>
      <c r="F3659" s="130" t="s">
        <v>624</v>
      </c>
      <c r="G3659" s="130" t="s">
        <v>625</v>
      </c>
      <c r="H3659" s="130" t="s">
        <v>623</v>
      </c>
    </row>
    <row r="3660" spans="1:8">
      <c r="A3660" s="130" t="s">
        <v>626</v>
      </c>
      <c r="B3660" s="130" t="s">
        <v>627</v>
      </c>
      <c r="C3660" s="130" t="s">
        <v>108</v>
      </c>
      <c r="D3660" s="130" t="s">
        <v>105</v>
      </c>
      <c r="E3660" s="130" t="s">
        <v>628</v>
      </c>
      <c r="F3660" s="130" t="s">
        <v>629</v>
      </c>
      <c r="G3660" s="130" t="s">
        <v>630</v>
      </c>
      <c r="H3660" s="130" t="s">
        <v>628</v>
      </c>
    </row>
    <row r="3661" spans="1:8">
      <c r="A3661" s="130" t="s">
        <v>109</v>
      </c>
      <c r="B3661" s="130" t="s">
        <v>110</v>
      </c>
      <c r="C3661" s="130" t="s">
        <v>108</v>
      </c>
      <c r="D3661" s="130" t="s">
        <v>105</v>
      </c>
      <c r="E3661" s="130" t="s">
        <v>476</v>
      </c>
      <c r="F3661" s="130" t="s">
        <v>579</v>
      </c>
      <c r="G3661" s="130" t="s">
        <v>631</v>
      </c>
      <c r="H3661" s="130" t="s">
        <v>476</v>
      </c>
    </row>
    <row r="3662" spans="1:8">
      <c r="A3662" s="130"/>
      <c r="B3662" s="130"/>
      <c r="C3662" s="130"/>
      <c r="D3662" s="130"/>
      <c r="E3662" s="130"/>
      <c r="F3662" s="130" t="s">
        <v>90</v>
      </c>
      <c r="G3662" s="130" t="s">
        <v>632</v>
      </c>
      <c r="H3662" s="130"/>
    </row>
    <row r="3663" spans="1:8">
      <c r="A3663" s="130"/>
      <c r="B3663" s="130"/>
      <c r="C3663" s="130"/>
      <c r="D3663" s="130"/>
      <c r="E3663" s="130"/>
      <c r="F3663" s="130" t="s">
        <v>92</v>
      </c>
      <c r="G3663" s="130" t="s">
        <v>633</v>
      </c>
      <c r="H3663" s="130"/>
    </row>
    <row r="3664" spans="1:8">
      <c r="A3664" s="130"/>
      <c r="B3664" s="130"/>
      <c r="C3664" s="130"/>
      <c r="D3664" s="130"/>
      <c r="E3664" s="130"/>
      <c r="F3664" s="130" t="s">
        <v>93</v>
      </c>
      <c r="G3664" s="130" t="s">
        <v>634</v>
      </c>
      <c r="H3664" s="130"/>
    </row>
    <row r="3666" spans="1:8">
      <c r="A3666" s="1202" t="s">
        <v>94</v>
      </c>
      <c r="B3666" s="1203"/>
      <c r="C3666" s="1203"/>
      <c r="D3666" s="1203"/>
      <c r="E3666" s="1203"/>
      <c r="F3666" s="1203"/>
      <c r="G3666" s="1203"/>
      <c r="H3666" s="1203"/>
    </row>
    <row r="3667" spans="1:8">
      <c r="A3667" s="130" t="s">
        <v>95</v>
      </c>
      <c r="B3667" s="130" t="s">
        <v>634</v>
      </c>
      <c r="C3667" s="130"/>
      <c r="D3667" s="130"/>
      <c r="E3667" s="130"/>
      <c r="F3667" s="130"/>
      <c r="G3667" s="130"/>
      <c r="H3667" s="130"/>
    </row>
    <row r="3668" spans="1:8">
      <c r="A3668" s="130" t="s">
        <v>96</v>
      </c>
      <c r="B3668" s="130" t="s">
        <v>635</v>
      </c>
      <c r="C3668" s="130"/>
      <c r="D3668" s="130"/>
      <c r="E3668" s="130"/>
      <c r="F3668" s="130"/>
      <c r="G3668" s="130"/>
      <c r="H3668" s="130"/>
    </row>
    <row r="3669" spans="1:8">
      <c r="A3669" s="130" t="s">
        <v>97</v>
      </c>
      <c r="B3669" s="130" t="s">
        <v>636</v>
      </c>
      <c r="C3669" s="130"/>
      <c r="D3669" s="130"/>
      <c r="E3669" s="130"/>
      <c r="F3669" s="130"/>
      <c r="G3669" s="130"/>
      <c r="H3669" s="130"/>
    </row>
    <row r="3670" spans="1:8">
      <c r="A3670" s="130" t="s">
        <v>98</v>
      </c>
      <c r="B3670" s="130" t="s">
        <v>637</v>
      </c>
      <c r="C3670" s="130"/>
      <c r="D3670" s="130"/>
      <c r="E3670" s="130"/>
      <c r="F3670" s="130"/>
      <c r="G3670" s="130"/>
      <c r="H3670" s="130"/>
    </row>
    <row r="3672" spans="1:8">
      <c r="A3672" s="1202" t="s">
        <v>642</v>
      </c>
      <c r="B3672" s="1203"/>
      <c r="C3672" s="1203"/>
      <c r="D3672" s="1203"/>
      <c r="E3672" s="1203"/>
      <c r="F3672" s="1203"/>
      <c r="G3672" s="1203"/>
      <c r="H3672" s="1203"/>
    </row>
    <row r="3673" spans="1:8">
      <c r="A3673" s="1202" t="s">
        <v>643</v>
      </c>
      <c r="B3673" s="1203"/>
      <c r="C3673" s="1203"/>
      <c r="D3673" s="1203"/>
      <c r="E3673" s="1203"/>
      <c r="F3673" s="1203"/>
      <c r="G3673" s="1203"/>
      <c r="H3673" s="1203"/>
    </row>
    <row r="3675" spans="1:8">
      <c r="A3675" s="1203" t="s">
        <v>80</v>
      </c>
      <c r="B3675" s="1203"/>
      <c r="C3675" s="1203"/>
      <c r="D3675" s="1203"/>
      <c r="E3675" s="1203"/>
      <c r="F3675" s="1203"/>
      <c r="G3675" s="1203"/>
      <c r="H3675" s="1203"/>
    </row>
    <row r="3677" spans="1:8">
      <c r="A3677" s="1203" t="s">
        <v>99</v>
      </c>
      <c r="B3677" s="1203"/>
      <c r="C3677" s="1203"/>
      <c r="D3677" s="1203"/>
      <c r="E3677" s="1203"/>
      <c r="F3677" s="1203"/>
      <c r="G3677" s="1203"/>
      <c r="H3677" s="1203"/>
    </row>
    <row r="3679" spans="1:8">
      <c r="A3679" s="133" t="s">
        <v>30</v>
      </c>
      <c r="B3679" s="133" t="s">
        <v>19</v>
      </c>
      <c r="C3679" s="133" t="s">
        <v>81</v>
      </c>
      <c r="D3679" s="133" t="s">
        <v>77</v>
      </c>
      <c r="E3679" s="133" t="s">
        <v>82</v>
      </c>
      <c r="F3679" s="133" t="s">
        <v>83</v>
      </c>
      <c r="G3679" s="133" t="s">
        <v>84</v>
      </c>
      <c r="H3679" s="133" t="s">
        <v>85</v>
      </c>
    </row>
    <row r="3680" spans="1:8">
      <c r="A3680" s="130" t="s">
        <v>638</v>
      </c>
      <c r="B3680" s="130" t="s">
        <v>639</v>
      </c>
      <c r="C3680" s="130" t="s">
        <v>87</v>
      </c>
      <c r="D3680" s="130" t="s">
        <v>100</v>
      </c>
      <c r="E3680" s="130" t="s">
        <v>644</v>
      </c>
      <c r="F3680" s="130" t="s">
        <v>640</v>
      </c>
      <c r="G3680" s="130" t="s">
        <v>645</v>
      </c>
      <c r="H3680" s="130" t="s">
        <v>644</v>
      </c>
    </row>
    <row r="3681" spans="1:8">
      <c r="A3681" s="130" t="s">
        <v>613</v>
      </c>
      <c r="B3681" s="130" t="s">
        <v>614</v>
      </c>
      <c r="C3681" s="130" t="s">
        <v>87</v>
      </c>
      <c r="D3681" s="130" t="s">
        <v>102</v>
      </c>
      <c r="E3681" s="130" t="s">
        <v>168</v>
      </c>
      <c r="F3681" s="130" t="s">
        <v>615</v>
      </c>
      <c r="G3681" s="130" t="s">
        <v>641</v>
      </c>
      <c r="H3681" s="130" t="s">
        <v>168</v>
      </c>
    </row>
    <row r="3682" spans="1:8">
      <c r="A3682" s="130" t="s">
        <v>616</v>
      </c>
      <c r="B3682" s="130" t="s">
        <v>617</v>
      </c>
      <c r="C3682" s="130" t="s">
        <v>87</v>
      </c>
      <c r="D3682" s="130" t="s">
        <v>102</v>
      </c>
      <c r="E3682" s="130" t="s">
        <v>618</v>
      </c>
      <c r="F3682" s="130" t="s">
        <v>619</v>
      </c>
      <c r="G3682" s="130" t="s">
        <v>620</v>
      </c>
      <c r="H3682" s="130" t="s">
        <v>618</v>
      </c>
    </row>
    <row r="3683" spans="1:8">
      <c r="A3683" s="130" t="s">
        <v>626</v>
      </c>
      <c r="B3683" s="130" t="s">
        <v>627</v>
      </c>
      <c r="C3683" s="130" t="s">
        <v>108</v>
      </c>
      <c r="D3683" s="130" t="s">
        <v>105</v>
      </c>
      <c r="E3683" s="130" t="s">
        <v>329</v>
      </c>
      <c r="F3683" s="130" t="s">
        <v>629</v>
      </c>
      <c r="G3683" s="130" t="s">
        <v>163</v>
      </c>
      <c r="H3683" s="130" t="s">
        <v>329</v>
      </c>
    </row>
    <row r="3684" spans="1:8">
      <c r="A3684" s="130" t="s">
        <v>109</v>
      </c>
      <c r="B3684" s="130" t="s">
        <v>110</v>
      </c>
      <c r="C3684" s="130" t="s">
        <v>108</v>
      </c>
      <c r="D3684" s="130" t="s">
        <v>105</v>
      </c>
      <c r="E3684" s="130" t="s">
        <v>646</v>
      </c>
      <c r="F3684" s="130" t="s">
        <v>579</v>
      </c>
      <c r="G3684" s="130" t="s">
        <v>647</v>
      </c>
      <c r="H3684" s="130" t="s">
        <v>646</v>
      </c>
    </row>
    <row r="3685" spans="1:8">
      <c r="A3685" s="130"/>
      <c r="B3685" s="130"/>
      <c r="C3685" s="130"/>
      <c r="D3685" s="130"/>
      <c r="E3685" s="130"/>
      <c r="F3685" s="130" t="s">
        <v>90</v>
      </c>
      <c r="G3685" s="130" t="s">
        <v>525</v>
      </c>
      <c r="H3685" s="130"/>
    </row>
    <row r="3686" spans="1:8">
      <c r="A3686" s="130"/>
      <c r="B3686" s="130"/>
      <c r="C3686" s="130"/>
      <c r="D3686" s="130"/>
      <c r="E3686" s="130"/>
      <c r="F3686" s="130" t="s">
        <v>92</v>
      </c>
      <c r="G3686" s="130" t="s">
        <v>165</v>
      </c>
      <c r="H3686" s="130"/>
    </row>
    <row r="3687" spans="1:8">
      <c r="A3687" s="130"/>
      <c r="B3687" s="130"/>
      <c r="C3687" s="130"/>
      <c r="D3687" s="130"/>
      <c r="E3687" s="130"/>
      <c r="F3687" s="130" t="s">
        <v>93</v>
      </c>
      <c r="G3687" s="130" t="s">
        <v>648</v>
      </c>
      <c r="H3687" s="130"/>
    </row>
    <row r="3689" spans="1:8">
      <c r="A3689" s="1202" t="s">
        <v>94</v>
      </c>
      <c r="B3689" s="1203"/>
      <c r="C3689" s="1203"/>
      <c r="D3689" s="1203"/>
      <c r="E3689" s="1203"/>
      <c r="F3689" s="1203"/>
      <c r="G3689" s="1203"/>
      <c r="H3689" s="1203"/>
    </row>
    <row r="3690" spans="1:8">
      <c r="A3690" s="130" t="s">
        <v>95</v>
      </c>
      <c r="B3690" s="130" t="s">
        <v>648</v>
      </c>
      <c r="C3690" s="130"/>
      <c r="D3690" s="130"/>
      <c r="E3690" s="130"/>
      <c r="F3690" s="130"/>
      <c r="G3690" s="130"/>
      <c r="H3690" s="130"/>
    </row>
    <row r="3691" spans="1:8">
      <c r="A3691" s="130" t="s">
        <v>96</v>
      </c>
      <c r="B3691" s="130" t="s">
        <v>649</v>
      </c>
      <c r="C3691" s="130"/>
      <c r="D3691" s="130"/>
      <c r="E3691" s="130"/>
      <c r="F3691" s="130"/>
      <c r="G3691" s="130"/>
      <c r="H3691" s="130"/>
    </row>
    <row r="3692" spans="1:8">
      <c r="A3692" s="130" t="s">
        <v>97</v>
      </c>
      <c r="B3692" s="130" t="s">
        <v>650</v>
      </c>
      <c r="C3692" s="130"/>
      <c r="D3692" s="130"/>
      <c r="E3692" s="130"/>
      <c r="F3692" s="130"/>
      <c r="G3692" s="130"/>
      <c r="H3692" s="130"/>
    </row>
    <row r="3693" spans="1:8">
      <c r="A3693" s="130" t="s">
        <v>98</v>
      </c>
      <c r="B3693" s="130" t="s">
        <v>651</v>
      </c>
      <c r="C3693" s="130"/>
      <c r="D3693" s="130"/>
      <c r="E3693" s="130"/>
      <c r="F3693" s="130"/>
      <c r="G3693" s="130"/>
      <c r="H3693" s="130"/>
    </row>
    <row r="3695" spans="1:8">
      <c r="A3695" s="1202" t="s">
        <v>652</v>
      </c>
      <c r="B3695" s="1203"/>
      <c r="C3695" s="1203"/>
      <c r="D3695" s="1203"/>
      <c r="E3695" s="1203"/>
      <c r="F3695" s="1203"/>
      <c r="G3695" s="1203"/>
      <c r="H3695" s="1203"/>
    </row>
    <row r="3696" spans="1:8">
      <c r="A3696" s="1202" t="s">
        <v>653</v>
      </c>
      <c r="B3696" s="1203"/>
      <c r="C3696" s="1203"/>
      <c r="D3696" s="1203"/>
      <c r="E3696" s="1203"/>
      <c r="F3696" s="1203"/>
      <c r="G3696" s="1203"/>
      <c r="H3696" s="1203"/>
    </row>
    <row r="3698" spans="1:8">
      <c r="A3698" s="1203" t="s">
        <v>80</v>
      </c>
      <c r="B3698" s="1203"/>
      <c r="C3698" s="1203"/>
      <c r="D3698" s="1203"/>
      <c r="E3698" s="1203"/>
      <c r="F3698" s="1203"/>
      <c r="G3698" s="1203"/>
      <c r="H3698" s="1203"/>
    </row>
    <row r="3700" spans="1:8">
      <c r="A3700" s="1203" t="s">
        <v>99</v>
      </c>
      <c r="B3700" s="1203"/>
      <c r="C3700" s="1203"/>
      <c r="D3700" s="1203"/>
      <c r="E3700" s="1203"/>
      <c r="F3700" s="1203"/>
      <c r="G3700" s="1203"/>
      <c r="H3700" s="1203"/>
    </row>
    <row r="3702" spans="1:8">
      <c r="A3702" s="133" t="s">
        <v>30</v>
      </c>
      <c r="B3702" s="133" t="s">
        <v>19</v>
      </c>
      <c r="C3702" s="133" t="s">
        <v>81</v>
      </c>
      <c r="D3702" s="133" t="s">
        <v>77</v>
      </c>
      <c r="E3702" s="133" t="s">
        <v>82</v>
      </c>
      <c r="F3702" s="133" t="s">
        <v>83</v>
      </c>
      <c r="G3702" s="133" t="s">
        <v>84</v>
      </c>
      <c r="H3702" s="133" t="s">
        <v>85</v>
      </c>
    </row>
    <row r="3703" spans="1:8">
      <c r="A3703" s="130" t="s">
        <v>654</v>
      </c>
      <c r="B3703" s="130" t="s">
        <v>655</v>
      </c>
      <c r="C3703" s="130" t="s">
        <v>108</v>
      </c>
      <c r="D3703" s="130" t="s">
        <v>112</v>
      </c>
      <c r="E3703" s="130" t="s">
        <v>656</v>
      </c>
      <c r="F3703" s="130" t="s">
        <v>657</v>
      </c>
      <c r="G3703" s="130" t="s">
        <v>658</v>
      </c>
      <c r="H3703" s="130" t="s">
        <v>656</v>
      </c>
    </row>
    <row r="3704" spans="1:8">
      <c r="A3704" s="130" t="s">
        <v>117</v>
      </c>
      <c r="B3704" s="130" t="s">
        <v>118</v>
      </c>
      <c r="C3704" s="130" t="s">
        <v>108</v>
      </c>
      <c r="D3704" s="130" t="s">
        <v>105</v>
      </c>
      <c r="E3704" s="130" t="s">
        <v>659</v>
      </c>
      <c r="F3704" s="130" t="s">
        <v>576</v>
      </c>
      <c r="G3704" s="130" t="s">
        <v>580</v>
      </c>
      <c r="H3704" s="130" t="s">
        <v>659</v>
      </c>
    </row>
    <row r="3705" spans="1:8">
      <c r="A3705" s="130" t="s">
        <v>109</v>
      </c>
      <c r="B3705" s="130" t="s">
        <v>110</v>
      </c>
      <c r="C3705" s="130" t="s">
        <v>108</v>
      </c>
      <c r="D3705" s="130" t="s">
        <v>105</v>
      </c>
      <c r="E3705" s="130" t="s">
        <v>336</v>
      </c>
      <c r="F3705" s="130" t="s">
        <v>579</v>
      </c>
      <c r="G3705" s="130" t="s">
        <v>116</v>
      </c>
      <c r="H3705" s="130" t="s">
        <v>336</v>
      </c>
    </row>
    <row r="3706" spans="1:8">
      <c r="A3706" s="130"/>
      <c r="B3706" s="130"/>
      <c r="C3706" s="130"/>
      <c r="D3706" s="130"/>
      <c r="E3706" s="130"/>
      <c r="F3706" s="130" t="s">
        <v>90</v>
      </c>
      <c r="G3706" s="130" t="s">
        <v>660</v>
      </c>
      <c r="H3706" s="130"/>
    </row>
    <row r="3707" spans="1:8">
      <c r="A3707" s="130"/>
      <c r="B3707" s="130"/>
      <c r="C3707" s="130"/>
      <c r="D3707" s="130"/>
      <c r="E3707" s="130"/>
      <c r="F3707" s="130" t="s">
        <v>92</v>
      </c>
      <c r="G3707" s="130" t="s">
        <v>661</v>
      </c>
      <c r="H3707" s="130"/>
    </row>
    <row r="3708" spans="1:8">
      <c r="A3708" s="130"/>
      <c r="B3708" s="130"/>
      <c r="C3708" s="130"/>
      <c r="D3708" s="130"/>
      <c r="E3708" s="130"/>
      <c r="F3708" s="130" t="s">
        <v>93</v>
      </c>
      <c r="G3708" s="130" t="s">
        <v>662</v>
      </c>
      <c r="H3708" s="130"/>
    </row>
    <row r="3710" spans="1:8">
      <c r="A3710" s="1202" t="s">
        <v>94</v>
      </c>
      <c r="B3710" s="1203"/>
      <c r="C3710" s="1203"/>
      <c r="D3710" s="1203"/>
      <c r="E3710" s="1203"/>
      <c r="F3710" s="1203"/>
      <c r="G3710" s="1203"/>
      <c r="H3710" s="1203"/>
    </row>
    <row r="3711" spans="1:8">
      <c r="A3711" s="130" t="s">
        <v>95</v>
      </c>
      <c r="B3711" s="130" t="s">
        <v>662</v>
      </c>
      <c r="C3711" s="130"/>
      <c r="D3711" s="130"/>
      <c r="E3711" s="130"/>
      <c r="F3711" s="130"/>
      <c r="G3711" s="130"/>
      <c r="H3711" s="130"/>
    </row>
    <row r="3712" spans="1:8">
      <c r="A3712" s="130" t="s">
        <v>96</v>
      </c>
      <c r="B3712" s="130" t="s">
        <v>89</v>
      </c>
      <c r="C3712" s="130"/>
      <c r="D3712" s="130"/>
      <c r="E3712" s="130"/>
      <c r="F3712" s="130"/>
      <c r="G3712" s="130"/>
      <c r="H3712" s="130"/>
    </row>
    <row r="3713" spans="1:8">
      <c r="A3713" s="130" t="s">
        <v>97</v>
      </c>
      <c r="B3713" s="130" t="s">
        <v>663</v>
      </c>
      <c r="C3713" s="130"/>
      <c r="D3713" s="130"/>
      <c r="E3713" s="130"/>
      <c r="F3713" s="130"/>
      <c r="G3713" s="130"/>
      <c r="H3713" s="130"/>
    </row>
    <row r="3714" spans="1:8">
      <c r="A3714" s="130" t="s">
        <v>98</v>
      </c>
      <c r="B3714" s="130" t="s">
        <v>664</v>
      </c>
      <c r="C3714" s="130"/>
      <c r="D3714" s="130"/>
      <c r="E3714" s="130"/>
      <c r="F3714" s="130"/>
      <c r="G3714" s="130"/>
      <c r="H3714" s="130"/>
    </row>
    <row r="3716" spans="1:8">
      <c r="A3716" s="1202" t="s">
        <v>665</v>
      </c>
      <c r="B3716" s="1203"/>
      <c r="C3716" s="1203"/>
      <c r="D3716" s="1203"/>
      <c r="E3716" s="1203"/>
      <c r="F3716" s="1203"/>
      <c r="G3716" s="1203"/>
      <c r="H3716" s="1203"/>
    </row>
    <row r="3717" spans="1:8">
      <c r="A3717" s="1202" t="s">
        <v>666</v>
      </c>
      <c r="B3717" s="1203"/>
      <c r="C3717" s="1203"/>
      <c r="D3717" s="1203"/>
      <c r="E3717" s="1203"/>
      <c r="F3717" s="1203"/>
      <c r="G3717" s="1203"/>
      <c r="H3717" s="1203"/>
    </row>
    <row r="3719" spans="1:8">
      <c r="A3719" s="1203" t="s">
        <v>504</v>
      </c>
      <c r="B3719" s="1203"/>
      <c r="C3719" s="1203"/>
      <c r="D3719" s="1203"/>
      <c r="E3719" s="1203"/>
      <c r="F3719" s="1203"/>
      <c r="G3719" s="1203"/>
      <c r="H3719" s="1203"/>
    </row>
    <row r="3721" spans="1:8">
      <c r="A3721" s="1203" t="s">
        <v>99</v>
      </c>
      <c r="B3721" s="1203"/>
      <c r="C3721" s="1203"/>
      <c r="D3721" s="1203"/>
      <c r="E3721" s="1203"/>
      <c r="F3721" s="1203"/>
      <c r="G3721" s="1203"/>
      <c r="H3721" s="1203"/>
    </row>
    <row r="3723" spans="1:8">
      <c r="A3723" s="133" t="s">
        <v>30</v>
      </c>
      <c r="B3723" s="133" t="s">
        <v>19</v>
      </c>
      <c r="C3723" s="133" t="s">
        <v>81</v>
      </c>
      <c r="D3723" s="133" t="s">
        <v>77</v>
      </c>
      <c r="E3723" s="133" t="s">
        <v>82</v>
      </c>
      <c r="F3723" s="133" t="s">
        <v>83</v>
      </c>
      <c r="G3723" s="133" t="s">
        <v>84</v>
      </c>
      <c r="H3723" s="133" t="s">
        <v>85</v>
      </c>
    </row>
    <row r="3724" spans="1:8">
      <c r="A3724" s="130" t="s">
        <v>667</v>
      </c>
      <c r="B3724" s="130" t="s">
        <v>668</v>
      </c>
      <c r="C3724" s="130" t="s">
        <v>104</v>
      </c>
      <c r="D3724" s="130" t="s">
        <v>105</v>
      </c>
      <c r="E3724" s="130" t="s">
        <v>669</v>
      </c>
      <c r="F3724" s="130" t="s">
        <v>506</v>
      </c>
      <c r="G3724" s="130" t="s">
        <v>670</v>
      </c>
      <c r="H3724" s="130" t="s">
        <v>669</v>
      </c>
    </row>
    <row r="3725" spans="1:8">
      <c r="A3725" s="130" t="s">
        <v>507</v>
      </c>
      <c r="B3725" s="130" t="s">
        <v>103</v>
      </c>
      <c r="C3725" s="130" t="s">
        <v>104</v>
      </c>
      <c r="D3725" s="130" t="s">
        <v>105</v>
      </c>
      <c r="E3725" s="130" t="s">
        <v>669</v>
      </c>
      <c r="F3725" s="130" t="s">
        <v>508</v>
      </c>
      <c r="G3725" s="130" t="s">
        <v>314</v>
      </c>
      <c r="H3725" s="130" t="s">
        <v>669</v>
      </c>
    </row>
    <row r="3726" spans="1:8">
      <c r="A3726" s="130" t="s">
        <v>671</v>
      </c>
      <c r="B3726" s="130" t="s">
        <v>672</v>
      </c>
      <c r="C3726" s="130" t="s">
        <v>87</v>
      </c>
      <c r="D3726" s="130" t="s">
        <v>100</v>
      </c>
      <c r="E3726" s="130" t="s">
        <v>673</v>
      </c>
      <c r="F3726" s="130" t="s">
        <v>674</v>
      </c>
      <c r="G3726" s="130" t="s">
        <v>675</v>
      </c>
      <c r="H3726" s="130" t="s">
        <v>673</v>
      </c>
    </row>
    <row r="3727" spans="1:8">
      <c r="A3727" s="130" t="s">
        <v>676</v>
      </c>
      <c r="B3727" s="130" t="s">
        <v>677</v>
      </c>
      <c r="C3727" s="130" t="s">
        <v>87</v>
      </c>
      <c r="D3727" s="130" t="s">
        <v>102</v>
      </c>
      <c r="E3727" s="130" t="s">
        <v>250</v>
      </c>
      <c r="F3727" s="130" t="s">
        <v>678</v>
      </c>
      <c r="G3727" s="130" t="s">
        <v>679</v>
      </c>
      <c r="H3727" s="130" t="s">
        <v>250</v>
      </c>
    </row>
    <row r="3728" spans="1:8">
      <c r="A3728" s="130"/>
      <c r="B3728" s="130"/>
      <c r="C3728" s="130"/>
      <c r="D3728" s="130"/>
      <c r="E3728" s="130"/>
      <c r="F3728" s="130" t="s">
        <v>90</v>
      </c>
      <c r="G3728" s="130" t="s">
        <v>680</v>
      </c>
      <c r="H3728" s="130"/>
    </row>
    <row r="3729" spans="1:8">
      <c r="A3729" s="130"/>
      <c r="B3729" s="130"/>
      <c r="C3729" s="130"/>
      <c r="D3729" s="130"/>
      <c r="E3729" s="130"/>
      <c r="F3729" s="130" t="s">
        <v>92</v>
      </c>
      <c r="G3729" s="130" t="s">
        <v>681</v>
      </c>
      <c r="H3729" s="130"/>
    </row>
    <row r="3730" spans="1:8">
      <c r="A3730" s="130"/>
      <c r="B3730" s="130"/>
      <c r="C3730" s="130"/>
      <c r="D3730" s="130"/>
      <c r="E3730" s="130"/>
      <c r="F3730" s="130" t="s">
        <v>93</v>
      </c>
      <c r="G3730" s="130" t="s">
        <v>682</v>
      </c>
      <c r="H3730" s="130"/>
    </row>
    <row r="3732" spans="1:8">
      <c r="A3732" s="1202" t="s">
        <v>94</v>
      </c>
      <c r="B3732" s="1203"/>
      <c r="C3732" s="1203"/>
      <c r="D3732" s="1203"/>
      <c r="E3732" s="1203"/>
      <c r="F3732" s="1203"/>
      <c r="G3732" s="1203"/>
      <c r="H3732" s="1203"/>
    </row>
    <row r="3733" spans="1:8">
      <c r="A3733" s="130" t="s">
        <v>95</v>
      </c>
      <c r="B3733" s="130" t="s">
        <v>682</v>
      </c>
      <c r="C3733" s="130"/>
      <c r="D3733" s="130"/>
      <c r="E3733" s="130"/>
      <c r="F3733" s="130"/>
      <c r="G3733" s="130"/>
      <c r="H3733" s="130"/>
    </row>
    <row r="3734" spans="1:8">
      <c r="A3734" s="130" t="s">
        <v>96</v>
      </c>
      <c r="B3734" s="130" t="s">
        <v>683</v>
      </c>
      <c r="C3734" s="130"/>
      <c r="D3734" s="130"/>
      <c r="E3734" s="130"/>
      <c r="F3734" s="130"/>
      <c r="G3734" s="130"/>
      <c r="H3734" s="130"/>
    </row>
    <row r="3735" spans="1:8">
      <c r="A3735" s="130" t="s">
        <v>97</v>
      </c>
      <c r="B3735" s="130" t="s">
        <v>684</v>
      </c>
      <c r="C3735" s="130"/>
      <c r="D3735" s="130"/>
      <c r="E3735" s="130"/>
      <c r="F3735" s="130"/>
      <c r="G3735" s="130"/>
      <c r="H3735" s="130"/>
    </row>
    <row r="3736" spans="1:8">
      <c r="A3736" s="130" t="s">
        <v>98</v>
      </c>
      <c r="B3736" s="130" t="s">
        <v>685</v>
      </c>
      <c r="C3736" s="130"/>
      <c r="D3736" s="130"/>
      <c r="E3736" s="130"/>
      <c r="F3736" s="130"/>
      <c r="G3736" s="130"/>
      <c r="H3736" s="130"/>
    </row>
    <row r="3737" spans="1:8">
      <c r="A3737" s="130"/>
      <c r="B3737" s="130"/>
      <c r="C3737" s="130"/>
      <c r="D3737" s="130"/>
      <c r="E3737" s="130"/>
      <c r="F3737" s="130"/>
      <c r="G3737" s="130"/>
      <c r="H3737" s="130"/>
    </row>
    <row r="3738" spans="1:8">
      <c r="A3738" s="130"/>
      <c r="B3738" s="130"/>
      <c r="C3738" s="130"/>
      <c r="D3738" s="130"/>
      <c r="E3738" s="130"/>
      <c r="F3738" s="130"/>
      <c r="G3738" s="130"/>
      <c r="H3738" s="130"/>
    </row>
    <row r="3739" spans="1:8">
      <c r="A3739" s="1202" t="s">
        <v>757</v>
      </c>
      <c r="B3739" s="1203"/>
      <c r="C3739" s="1203"/>
      <c r="D3739" s="1203"/>
      <c r="E3739" s="1203"/>
      <c r="F3739" s="1203"/>
      <c r="G3739" s="1203"/>
      <c r="H3739" s="1203"/>
    </row>
    <row r="3740" spans="1:8">
      <c r="A3740" s="1202" t="s">
        <v>758</v>
      </c>
      <c r="B3740" s="1203"/>
      <c r="C3740" s="1203"/>
      <c r="D3740" s="1203"/>
      <c r="E3740" s="1203"/>
      <c r="F3740" s="1203"/>
      <c r="G3740" s="1203"/>
      <c r="H3740" s="1203"/>
    </row>
    <row r="3741" spans="1:8">
      <c r="A3741" s="130"/>
      <c r="B3741" s="130"/>
      <c r="C3741" s="130"/>
      <c r="D3741" s="130"/>
      <c r="E3741" s="130"/>
      <c r="F3741" s="130"/>
      <c r="G3741" s="130"/>
      <c r="H3741" s="130"/>
    </row>
    <row r="3742" spans="1:8">
      <c r="A3742" s="1203" t="s">
        <v>107</v>
      </c>
      <c r="B3742" s="1203"/>
      <c r="C3742" s="1203"/>
      <c r="D3742" s="1203"/>
      <c r="E3742" s="1203"/>
      <c r="F3742" s="1203"/>
      <c r="G3742" s="1203"/>
      <c r="H3742" s="1203"/>
    </row>
    <row r="3743" spans="1:8">
      <c r="A3743" s="130"/>
      <c r="B3743" s="130"/>
      <c r="C3743" s="130"/>
      <c r="D3743" s="130"/>
      <c r="E3743" s="130"/>
      <c r="F3743" s="130"/>
      <c r="G3743" s="130"/>
      <c r="H3743" s="130"/>
    </row>
    <row r="3744" spans="1:8">
      <c r="A3744" s="1203" t="s">
        <v>99</v>
      </c>
      <c r="B3744" s="1203"/>
      <c r="C3744" s="1203"/>
      <c r="D3744" s="1203"/>
      <c r="E3744" s="1203"/>
      <c r="F3744" s="1203"/>
      <c r="G3744" s="1203"/>
      <c r="H3744" s="1203"/>
    </row>
    <row r="3745" spans="1:8">
      <c r="A3745" s="130"/>
      <c r="B3745" s="130"/>
      <c r="C3745" s="130"/>
      <c r="D3745" s="130"/>
      <c r="E3745" s="130"/>
      <c r="F3745" s="130"/>
      <c r="G3745" s="130"/>
      <c r="H3745" s="130"/>
    </row>
    <row r="3746" spans="1:8">
      <c r="A3746" s="133" t="s">
        <v>30</v>
      </c>
      <c r="B3746" s="133" t="s">
        <v>19</v>
      </c>
      <c r="C3746" s="133" t="s">
        <v>81</v>
      </c>
      <c r="D3746" s="133" t="s">
        <v>77</v>
      </c>
      <c r="E3746" s="133" t="s">
        <v>82</v>
      </c>
      <c r="F3746" s="133" t="s">
        <v>83</v>
      </c>
      <c r="G3746" s="133" t="s">
        <v>84</v>
      </c>
      <c r="H3746" s="133" t="s">
        <v>85</v>
      </c>
    </row>
    <row r="3747" spans="1:8">
      <c r="A3747" s="130" t="s">
        <v>759</v>
      </c>
      <c r="B3747" s="130" t="s">
        <v>760</v>
      </c>
      <c r="C3747" s="130" t="s">
        <v>87</v>
      </c>
      <c r="D3747" s="130" t="s">
        <v>102</v>
      </c>
      <c r="E3747" s="130" t="s">
        <v>272</v>
      </c>
      <c r="F3747" s="130" t="s">
        <v>761</v>
      </c>
      <c r="G3747" s="130" t="s">
        <v>646</v>
      </c>
      <c r="H3747" s="130" t="s">
        <v>272</v>
      </c>
    </row>
    <row r="3748" spans="1:8">
      <c r="A3748" s="130" t="s">
        <v>762</v>
      </c>
      <c r="B3748" s="130" t="s">
        <v>763</v>
      </c>
      <c r="C3748" s="130" t="s">
        <v>87</v>
      </c>
      <c r="D3748" s="130" t="s">
        <v>102</v>
      </c>
      <c r="E3748" s="130" t="s">
        <v>272</v>
      </c>
      <c r="F3748" s="130" t="s">
        <v>764</v>
      </c>
      <c r="G3748" s="130" t="s">
        <v>765</v>
      </c>
      <c r="H3748" s="130" t="s">
        <v>272</v>
      </c>
    </row>
    <row r="3749" spans="1:8">
      <c r="A3749" s="130" t="s">
        <v>766</v>
      </c>
      <c r="B3749" s="130" t="s">
        <v>767</v>
      </c>
      <c r="C3749" s="130" t="s">
        <v>108</v>
      </c>
      <c r="D3749" s="130" t="s">
        <v>112</v>
      </c>
      <c r="E3749" s="130" t="s">
        <v>768</v>
      </c>
      <c r="F3749" s="130" t="s">
        <v>769</v>
      </c>
      <c r="G3749" s="130" t="s">
        <v>678</v>
      </c>
      <c r="H3749" s="130" t="s">
        <v>768</v>
      </c>
    </row>
    <row r="3750" spans="1:8">
      <c r="A3750" s="130" t="s">
        <v>770</v>
      </c>
      <c r="B3750" s="130" t="s">
        <v>771</v>
      </c>
      <c r="C3750" s="130" t="s">
        <v>87</v>
      </c>
      <c r="D3750" s="130" t="s">
        <v>100</v>
      </c>
      <c r="E3750" s="130" t="s">
        <v>673</v>
      </c>
      <c r="F3750" s="130" t="s">
        <v>772</v>
      </c>
      <c r="G3750" s="130" t="s">
        <v>773</v>
      </c>
      <c r="H3750" s="130" t="s">
        <v>673</v>
      </c>
    </row>
    <row r="3751" spans="1:8">
      <c r="A3751" s="130" t="s">
        <v>774</v>
      </c>
      <c r="B3751" s="130" t="s">
        <v>775</v>
      </c>
      <c r="C3751" s="130" t="s">
        <v>108</v>
      </c>
      <c r="D3751" s="130" t="s">
        <v>100</v>
      </c>
      <c r="E3751" s="130" t="s">
        <v>101</v>
      </c>
      <c r="F3751" s="130" t="s">
        <v>133</v>
      </c>
      <c r="G3751" s="130" t="s">
        <v>133</v>
      </c>
      <c r="H3751" s="130" t="s">
        <v>101</v>
      </c>
    </row>
    <row r="3752" spans="1:8">
      <c r="A3752" s="130" t="s">
        <v>776</v>
      </c>
      <c r="B3752" s="130" t="s">
        <v>777</v>
      </c>
      <c r="C3752" s="130" t="s">
        <v>108</v>
      </c>
      <c r="D3752" s="130" t="s">
        <v>100</v>
      </c>
      <c r="E3752" s="130" t="s">
        <v>101</v>
      </c>
      <c r="F3752" s="130" t="s">
        <v>778</v>
      </c>
      <c r="G3752" s="130" t="s">
        <v>778</v>
      </c>
      <c r="H3752" s="130" t="s">
        <v>101</v>
      </c>
    </row>
    <row r="3753" spans="1:8">
      <c r="A3753" s="130" t="s">
        <v>779</v>
      </c>
      <c r="B3753" s="130" t="s">
        <v>780</v>
      </c>
      <c r="C3753" s="130" t="s">
        <v>104</v>
      </c>
      <c r="D3753" s="130" t="s">
        <v>105</v>
      </c>
      <c r="E3753" s="130" t="s">
        <v>781</v>
      </c>
      <c r="F3753" s="130" t="s">
        <v>782</v>
      </c>
      <c r="G3753" s="130" t="s">
        <v>783</v>
      </c>
      <c r="H3753" s="130" t="s">
        <v>781</v>
      </c>
    </row>
    <row r="3754" spans="1:8">
      <c r="A3754" s="130" t="s">
        <v>171</v>
      </c>
      <c r="B3754" s="130" t="s">
        <v>172</v>
      </c>
      <c r="C3754" s="130" t="s">
        <v>104</v>
      </c>
      <c r="D3754" s="130" t="s">
        <v>105</v>
      </c>
      <c r="E3754" s="130" t="s">
        <v>781</v>
      </c>
      <c r="F3754" s="130" t="s">
        <v>173</v>
      </c>
      <c r="G3754" s="130" t="s">
        <v>784</v>
      </c>
      <c r="H3754" s="130" t="s">
        <v>781</v>
      </c>
    </row>
    <row r="3755" spans="1:8">
      <c r="A3755" s="130"/>
      <c r="B3755" s="130"/>
      <c r="C3755" s="130"/>
      <c r="D3755" s="130"/>
      <c r="E3755" s="130"/>
      <c r="F3755" s="130" t="s">
        <v>90</v>
      </c>
      <c r="G3755" s="130" t="s">
        <v>785</v>
      </c>
      <c r="H3755" s="130"/>
    </row>
    <row r="3756" spans="1:8">
      <c r="A3756" s="130"/>
      <c r="B3756" s="130"/>
      <c r="C3756" s="130"/>
      <c r="D3756" s="130"/>
      <c r="E3756" s="130"/>
      <c r="F3756" s="130" t="s">
        <v>92</v>
      </c>
      <c r="G3756" s="130" t="s">
        <v>786</v>
      </c>
      <c r="H3756" s="130"/>
    </row>
    <row r="3757" spans="1:8">
      <c r="A3757" s="130"/>
      <c r="B3757" s="130"/>
      <c r="C3757" s="130"/>
      <c r="D3757" s="130"/>
      <c r="E3757" s="130"/>
      <c r="F3757" s="130" t="s">
        <v>93</v>
      </c>
      <c r="G3757" s="130" t="s">
        <v>787</v>
      </c>
      <c r="H3757" s="130"/>
    </row>
    <row r="3758" spans="1:8">
      <c r="A3758" s="130"/>
      <c r="B3758" s="130"/>
      <c r="C3758" s="130"/>
      <c r="D3758" s="130"/>
      <c r="E3758" s="130"/>
      <c r="F3758" s="130"/>
      <c r="G3758" s="130"/>
      <c r="H3758" s="130"/>
    </row>
    <row r="3759" spans="1:8">
      <c r="A3759" s="1202" t="s">
        <v>94</v>
      </c>
      <c r="B3759" s="1203"/>
      <c r="C3759" s="1203"/>
      <c r="D3759" s="1203"/>
      <c r="E3759" s="1203"/>
      <c r="F3759" s="1203"/>
      <c r="G3759" s="1203"/>
      <c r="H3759" s="1203"/>
    </row>
    <row r="3760" spans="1:8">
      <c r="A3760" s="130" t="s">
        <v>95</v>
      </c>
      <c r="B3760" s="130" t="s">
        <v>787</v>
      </c>
      <c r="C3760" s="130"/>
      <c r="D3760" s="130"/>
      <c r="E3760" s="130"/>
      <c r="F3760" s="130"/>
      <c r="G3760" s="130"/>
      <c r="H3760" s="130"/>
    </row>
    <row r="3761" spans="1:8">
      <c r="A3761" s="130" t="s">
        <v>96</v>
      </c>
      <c r="B3761" s="130" t="s">
        <v>788</v>
      </c>
      <c r="C3761" s="130"/>
      <c r="D3761" s="130"/>
      <c r="E3761" s="130"/>
      <c r="F3761" s="130"/>
      <c r="G3761" s="130"/>
      <c r="H3761" s="130"/>
    </row>
    <row r="3762" spans="1:8">
      <c r="A3762" s="130" t="s">
        <v>97</v>
      </c>
      <c r="B3762" s="130" t="s">
        <v>789</v>
      </c>
      <c r="C3762" s="130"/>
      <c r="D3762" s="130"/>
      <c r="E3762" s="130"/>
      <c r="F3762" s="130"/>
      <c r="G3762" s="130"/>
      <c r="H3762" s="130"/>
    </row>
    <row r="3763" spans="1:8">
      <c r="A3763" s="130" t="s">
        <v>98</v>
      </c>
      <c r="B3763" s="130" t="s">
        <v>790</v>
      </c>
      <c r="C3763" s="130"/>
      <c r="D3763" s="130"/>
      <c r="E3763" s="130"/>
      <c r="F3763" s="130"/>
      <c r="G3763" s="130"/>
      <c r="H3763" s="130"/>
    </row>
    <row r="3764" spans="1:8">
      <c r="A3764" s="130"/>
      <c r="B3764" s="130"/>
      <c r="C3764" s="130"/>
      <c r="D3764" s="130"/>
      <c r="E3764" s="130"/>
      <c r="F3764" s="130"/>
      <c r="G3764" s="130"/>
      <c r="H3764" s="130"/>
    </row>
    <row r="3766" spans="1:8">
      <c r="A3766" s="1202" t="s">
        <v>708</v>
      </c>
      <c r="B3766" s="1203"/>
      <c r="C3766" s="1203"/>
      <c r="D3766" s="1203"/>
      <c r="E3766" s="1203"/>
      <c r="F3766" s="1203"/>
      <c r="G3766" s="1203"/>
      <c r="H3766" s="1203"/>
    </row>
    <row r="3767" spans="1:8">
      <c r="A3767" s="1202" t="s">
        <v>686</v>
      </c>
      <c r="B3767" s="1203"/>
      <c r="C3767" s="1203"/>
      <c r="D3767" s="1203"/>
      <c r="E3767" s="1203"/>
      <c r="F3767" s="1203"/>
      <c r="G3767" s="1203"/>
      <c r="H3767" s="1203"/>
    </row>
    <row r="3769" spans="1:8">
      <c r="A3769" s="1203" t="s">
        <v>709</v>
      </c>
      <c r="B3769" s="1203"/>
      <c r="C3769" s="1203"/>
      <c r="D3769" s="1203"/>
      <c r="E3769" s="1203"/>
      <c r="F3769" s="1203"/>
      <c r="G3769" s="1203"/>
      <c r="H3769" s="1203"/>
    </row>
    <row r="3771" spans="1:8">
      <c r="A3771" s="1203" t="s">
        <v>687</v>
      </c>
      <c r="B3771" s="1203"/>
      <c r="C3771" s="1203"/>
      <c r="D3771" s="1203"/>
      <c r="E3771" s="1203"/>
      <c r="F3771" s="1203"/>
      <c r="G3771" s="1203"/>
      <c r="H3771" s="1203"/>
    </row>
    <row r="3773" spans="1:8">
      <c r="A3773" s="133" t="s">
        <v>30</v>
      </c>
      <c r="B3773" s="133" t="s">
        <v>19</v>
      </c>
      <c r="C3773" s="133" t="s">
        <v>81</v>
      </c>
      <c r="D3773" s="133" t="s">
        <v>77</v>
      </c>
      <c r="E3773" s="133" t="s">
        <v>82</v>
      </c>
      <c r="F3773" s="133" t="s">
        <v>83</v>
      </c>
      <c r="G3773" s="133" t="s">
        <v>84</v>
      </c>
      <c r="H3773" s="133" t="s">
        <v>85</v>
      </c>
    </row>
    <row r="3774" spans="1:8">
      <c r="A3774" s="130" t="s">
        <v>688</v>
      </c>
      <c r="B3774" s="130" t="s">
        <v>689</v>
      </c>
      <c r="C3774" s="130" t="s">
        <v>108</v>
      </c>
      <c r="D3774" s="130" t="s">
        <v>112</v>
      </c>
      <c r="E3774" s="130" t="s">
        <v>690</v>
      </c>
      <c r="F3774" s="130" t="s">
        <v>691</v>
      </c>
      <c r="G3774" s="127">
        <f>E3774*F3774</f>
        <v>0.78922199999999998</v>
      </c>
      <c r="H3774" s="130" t="s">
        <v>690</v>
      </c>
    </row>
    <row r="3775" spans="1:8">
      <c r="A3775" s="130" t="s">
        <v>711</v>
      </c>
      <c r="B3775" s="130" t="s">
        <v>710</v>
      </c>
      <c r="C3775" s="130" t="s">
        <v>87</v>
      </c>
      <c r="D3775" s="130" t="s">
        <v>100</v>
      </c>
      <c r="E3775" s="130" t="s">
        <v>693</v>
      </c>
      <c r="F3775" s="127">
        <v>496</v>
      </c>
      <c r="G3775" s="127">
        <f t="shared" ref="G3775:G3782" si="145">E3775*F3775</f>
        <v>654.72</v>
      </c>
      <c r="H3775" s="130" t="s">
        <v>693</v>
      </c>
    </row>
    <row r="3776" spans="1:8">
      <c r="A3776" s="130" t="s">
        <v>694</v>
      </c>
      <c r="B3776" s="130" t="s">
        <v>695</v>
      </c>
      <c r="C3776" s="130" t="s">
        <v>87</v>
      </c>
      <c r="D3776" s="130" t="s">
        <v>5</v>
      </c>
      <c r="E3776" s="130" t="s">
        <v>101</v>
      </c>
      <c r="F3776" s="130" t="s">
        <v>696</v>
      </c>
      <c r="G3776" s="127">
        <f t="shared" si="145"/>
        <v>56.93</v>
      </c>
      <c r="H3776" s="130" t="s">
        <v>101</v>
      </c>
    </row>
    <row r="3777" spans="1:8">
      <c r="A3777" s="130" t="s">
        <v>697</v>
      </c>
      <c r="B3777" s="130" t="s">
        <v>698</v>
      </c>
      <c r="C3777" s="130" t="s">
        <v>87</v>
      </c>
      <c r="D3777" s="130" t="s">
        <v>102</v>
      </c>
      <c r="E3777" s="130" t="s">
        <v>313</v>
      </c>
      <c r="F3777" s="130" t="s">
        <v>699</v>
      </c>
      <c r="G3777" s="127">
        <f t="shared" si="145"/>
        <v>3.1559999999999997</v>
      </c>
      <c r="H3777" s="130" t="s">
        <v>313</v>
      </c>
    </row>
    <row r="3778" spans="1:8">
      <c r="A3778" s="130" t="s">
        <v>700</v>
      </c>
      <c r="B3778" s="130" t="s">
        <v>701</v>
      </c>
      <c r="C3778" s="130" t="s">
        <v>87</v>
      </c>
      <c r="D3778" s="130" t="s">
        <v>5</v>
      </c>
      <c r="E3778" s="130" t="s">
        <v>101</v>
      </c>
      <c r="F3778" s="130" t="s">
        <v>702</v>
      </c>
      <c r="G3778" s="127">
        <f t="shared" si="145"/>
        <v>53</v>
      </c>
      <c r="H3778" s="130" t="s">
        <v>101</v>
      </c>
    </row>
    <row r="3779" spans="1:8">
      <c r="A3779" s="130" t="s">
        <v>703</v>
      </c>
      <c r="B3779" s="130" t="s">
        <v>704</v>
      </c>
      <c r="C3779" s="130" t="s">
        <v>87</v>
      </c>
      <c r="D3779" s="130" t="s">
        <v>5</v>
      </c>
      <c r="E3779" s="130" t="s">
        <v>101</v>
      </c>
      <c r="F3779" s="130" t="s">
        <v>159</v>
      </c>
      <c r="G3779" s="127">
        <f t="shared" si="145"/>
        <v>28.73</v>
      </c>
      <c r="H3779" s="130" t="s">
        <v>101</v>
      </c>
    </row>
    <row r="3780" spans="1:8">
      <c r="A3780" s="130" t="s">
        <v>705</v>
      </c>
      <c r="B3780" s="130" t="s">
        <v>706</v>
      </c>
      <c r="C3780" s="130" t="s">
        <v>104</v>
      </c>
      <c r="D3780" s="130" t="s">
        <v>105</v>
      </c>
      <c r="E3780" s="130" t="s">
        <v>227</v>
      </c>
      <c r="F3780" s="130" t="s">
        <v>506</v>
      </c>
      <c r="G3780" s="127">
        <f t="shared" si="145"/>
        <v>9.7349999999999994</v>
      </c>
      <c r="H3780" s="130" t="s">
        <v>227</v>
      </c>
    </row>
    <row r="3781" spans="1:8">
      <c r="A3781" s="130" t="s">
        <v>505</v>
      </c>
      <c r="B3781" s="130" t="s">
        <v>130</v>
      </c>
      <c r="C3781" s="130" t="s">
        <v>104</v>
      </c>
      <c r="D3781" s="130" t="s">
        <v>105</v>
      </c>
      <c r="E3781" s="130" t="s">
        <v>162</v>
      </c>
      <c r="F3781" s="130" t="s">
        <v>506</v>
      </c>
      <c r="G3781" s="127">
        <f t="shared" si="145"/>
        <v>9.0860000000000003</v>
      </c>
      <c r="H3781" s="130" t="s">
        <v>162</v>
      </c>
    </row>
    <row r="3782" spans="1:8">
      <c r="A3782" s="130" t="s">
        <v>507</v>
      </c>
      <c r="B3782" s="130" t="s">
        <v>103</v>
      </c>
      <c r="C3782" s="130" t="s">
        <v>104</v>
      </c>
      <c r="D3782" s="130" t="s">
        <v>105</v>
      </c>
      <c r="E3782" s="130" t="s">
        <v>707</v>
      </c>
      <c r="F3782" s="130" t="s">
        <v>508</v>
      </c>
      <c r="G3782" s="127">
        <f t="shared" si="145"/>
        <v>12.818</v>
      </c>
      <c r="H3782" s="130" t="s">
        <v>707</v>
      </c>
    </row>
    <row r="3783" spans="1:8">
      <c r="A3783" s="130"/>
      <c r="B3783" s="130"/>
      <c r="C3783" s="130"/>
      <c r="D3783" s="130"/>
      <c r="E3783" s="130"/>
      <c r="F3783" s="130"/>
      <c r="G3783" s="127"/>
      <c r="H3783" s="130"/>
    </row>
    <row r="3784" spans="1:8">
      <c r="A3784" s="130"/>
      <c r="B3784" s="130"/>
      <c r="C3784" s="130"/>
      <c r="D3784" s="130"/>
      <c r="E3784" s="130"/>
      <c r="F3784" s="130" t="s">
        <v>90</v>
      </c>
      <c r="G3784" s="127">
        <f>SUM(G3780:G3782)</f>
        <v>31.638999999999996</v>
      </c>
      <c r="H3784" s="130"/>
    </row>
    <row r="3785" spans="1:8">
      <c r="A3785" s="130"/>
      <c r="B3785" s="130"/>
      <c r="C3785" s="130"/>
      <c r="D3785" s="130"/>
      <c r="E3785" s="130"/>
      <c r="F3785" s="130" t="s">
        <v>92</v>
      </c>
      <c r="G3785" s="127">
        <f>SUM(G3774:G3779)</f>
        <v>797.32522199999994</v>
      </c>
      <c r="H3785" s="130"/>
    </row>
    <row r="3786" spans="1:8">
      <c r="A3786" s="130"/>
      <c r="B3786" s="130"/>
      <c r="C3786" s="130"/>
      <c r="D3786" s="130"/>
      <c r="E3786" s="130"/>
      <c r="F3786" s="130" t="s">
        <v>93</v>
      </c>
      <c r="G3786" s="127">
        <f>G3785+G3784</f>
        <v>828.96422199999995</v>
      </c>
      <c r="H3786" s="130"/>
    </row>
    <row r="3788" spans="1:8">
      <c r="A3788" s="1202" t="s">
        <v>94</v>
      </c>
      <c r="B3788" s="1203"/>
      <c r="C3788" s="1203"/>
      <c r="D3788" s="1203"/>
      <c r="E3788" s="1203"/>
      <c r="F3788" s="1203"/>
      <c r="G3788" s="1203"/>
      <c r="H3788" s="1203"/>
    </row>
    <row r="3789" spans="1:8">
      <c r="A3789" s="130" t="s">
        <v>95</v>
      </c>
      <c r="B3789" s="127">
        <f>G3786</f>
        <v>828.96422199999995</v>
      </c>
      <c r="C3789" s="130"/>
      <c r="D3789" s="130"/>
      <c r="E3789" s="130"/>
      <c r="F3789" s="130"/>
      <c r="G3789" s="130"/>
      <c r="H3789" s="130"/>
    </row>
    <row r="3790" spans="1:8">
      <c r="A3790" s="130" t="s">
        <v>96</v>
      </c>
      <c r="B3790" s="127">
        <f>G3784*0.7237</f>
        <v>22.897144299999997</v>
      </c>
      <c r="C3790" s="130"/>
      <c r="D3790" s="130"/>
      <c r="E3790" s="130"/>
      <c r="F3790" s="130"/>
      <c r="G3790" s="130"/>
      <c r="H3790" s="130"/>
    </row>
    <row r="3791" spans="1:8">
      <c r="A3791" s="130" t="s">
        <v>97</v>
      </c>
      <c r="B3791" s="127">
        <f>(B3789+B3790)*0.2457</f>
        <v>209.30233769991</v>
      </c>
      <c r="C3791" s="130"/>
      <c r="D3791" s="130"/>
      <c r="E3791" s="130"/>
      <c r="F3791" s="130"/>
      <c r="G3791" s="130"/>
      <c r="H3791" s="130"/>
    </row>
    <row r="3792" spans="1:8">
      <c r="A3792" s="130" t="s">
        <v>98</v>
      </c>
      <c r="B3792" s="127">
        <f>SUM(B3789:B3791)</f>
        <v>1061.16370399991</v>
      </c>
      <c r="C3792" s="130"/>
      <c r="D3792" s="130"/>
      <c r="E3792" s="130"/>
      <c r="F3792" s="130"/>
      <c r="G3792" s="130"/>
      <c r="H3792" s="130"/>
    </row>
    <row r="3796" spans="1:8">
      <c r="A3796" s="1202" t="s">
        <v>728</v>
      </c>
      <c r="B3796" s="1203"/>
      <c r="C3796" s="1203"/>
      <c r="D3796" s="1203"/>
      <c r="E3796" s="1203"/>
      <c r="F3796" s="1203"/>
      <c r="G3796" s="1203"/>
      <c r="H3796" s="1203"/>
    </row>
    <row r="3797" spans="1:8">
      <c r="A3797" s="1202" t="s">
        <v>723</v>
      </c>
      <c r="B3797" s="1203"/>
      <c r="C3797" s="1203"/>
      <c r="D3797" s="1203"/>
      <c r="E3797" s="1203"/>
      <c r="F3797" s="1203"/>
      <c r="G3797" s="1203"/>
      <c r="H3797" s="1203"/>
    </row>
    <row r="3799" spans="1:8">
      <c r="A3799" s="1203" t="s">
        <v>729</v>
      </c>
      <c r="B3799" s="1203"/>
      <c r="C3799" s="1203"/>
      <c r="D3799" s="1203"/>
      <c r="E3799" s="1203"/>
      <c r="F3799" s="1203"/>
      <c r="G3799" s="1203"/>
      <c r="H3799" s="1203"/>
    </row>
    <row r="3801" spans="1:8">
      <c r="A3801" s="1203" t="s">
        <v>687</v>
      </c>
      <c r="B3801" s="1203"/>
      <c r="C3801" s="1203"/>
      <c r="D3801" s="1203"/>
      <c r="E3801" s="1203"/>
      <c r="F3801" s="1203"/>
      <c r="G3801" s="1203"/>
      <c r="H3801" s="1203"/>
    </row>
    <row r="3803" spans="1:8">
      <c r="A3803" s="133" t="s">
        <v>30</v>
      </c>
      <c r="B3803" s="133" t="s">
        <v>19</v>
      </c>
      <c r="C3803" s="133" t="s">
        <v>81</v>
      </c>
      <c r="D3803" s="133" t="s">
        <v>77</v>
      </c>
      <c r="E3803" s="133" t="s">
        <v>82</v>
      </c>
      <c r="F3803" s="133" t="s">
        <v>83</v>
      </c>
      <c r="G3803" s="133" t="s">
        <v>84</v>
      </c>
      <c r="H3803" s="133" t="s">
        <v>85</v>
      </c>
    </row>
    <row r="3804" spans="1:8">
      <c r="A3804" s="130" t="s">
        <v>688</v>
      </c>
      <c r="B3804" s="130" t="s">
        <v>689</v>
      </c>
      <c r="C3804" s="130" t="s">
        <v>108</v>
      </c>
      <c r="D3804" s="130" t="s">
        <v>112</v>
      </c>
      <c r="E3804" s="126" t="s">
        <v>690</v>
      </c>
      <c r="F3804" s="130" t="s">
        <v>691</v>
      </c>
      <c r="G3804" s="127">
        <f>E3804*F3804</f>
        <v>0.78922199999999998</v>
      </c>
      <c r="H3804" s="130" t="s">
        <v>690</v>
      </c>
    </row>
    <row r="3805" spans="1:8">
      <c r="A3805" s="130" t="s">
        <v>692</v>
      </c>
      <c r="B3805" s="130" t="s">
        <v>727</v>
      </c>
      <c r="C3805" s="130" t="s">
        <v>87</v>
      </c>
      <c r="D3805" s="130" t="s">
        <v>100</v>
      </c>
      <c r="E3805" s="126">
        <v>1.44</v>
      </c>
      <c r="F3805" s="127">
        <v>490</v>
      </c>
      <c r="G3805" s="127">
        <f t="shared" ref="G3805:G3812" si="146">E3805*F3805</f>
        <v>705.6</v>
      </c>
      <c r="H3805" s="130" t="s">
        <v>693</v>
      </c>
    </row>
    <row r="3806" spans="1:8">
      <c r="A3806" s="130" t="s">
        <v>724</v>
      </c>
      <c r="B3806" s="130" t="s">
        <v>725</v>
      </c>
      <c r="C3806" s="130" t="s">
        <v>87</v>
      </c>
      <c r="D3806" s="130" t="s">
        <v>5</v>
      </c>
      <c r="E3806" s="126" t="s">
        <v>101</v>
      </c>
      <c r="F3806" s="130" t="s">
        <v>726</v>
      </c>
      <c r="G3806" s="127">
        <f t="shared" si="146"/>
        <v>141</v>
      </c>
      <c r="H3806" s="130" t="s">
        <v>101</v>
      </c>
    </row>
    <row r="3807" spans="1:8">
      <c r="A3807" s="130" t="s">
        <v>697</v>
      </c>
      <c r="B3807" s="130" t="s">
        <v>698</v>
      </c>
      <c r="C3807" s="130" t="s">
        <v>87</v>
      </c>
      <c r="D3807" s="130" t="s">
        <v>102</v>
      </c>
      <c r="E3807" s="126" t="s">
        <v>313</v>
      </c>
      <c r="F3807" s="130" t="s">
        <v>699</v>
      </c>
      <c r="G3807" s="127">
        <f t="shared" si="146"/>
        <v>3.1559999999999997</v>
      </c>
      <c r="H3807" s="130" t="s">
        <v>313</v>
      </c>
    </row>
    <row r="3808" spans="1:8">
      <c r="A3808" s="130" t="s">
        <v>700</v>
      </c>
      <c r="B3808" s="130" t="s">
        <v>701</v>
      </c>
      <c r="C3808" s="130" t="s">
        <v>87</v>
      </c>
      <c r="D3808" s="130" t="s">
        <v>5</v>
      </c>
      <c r="E3808" s="126" t="s">
        <v>101</v>
      </c>
      <c r="F3808" s="130" t="s">
        <v>702</v>
      </c>
      <c r="G3808" s="127">
        <f t="shared" si="146"/>
        <v>53</v>
      </c>
      <c r="H3808" s="130" t="s">
        <v>101</v>
      </c>
    </row>
    <row r="3809" spans="1:8">
      <c r="A3809" s="130" t="s">
        <v>703</v>
      </c>
      <c r="B3809" s="130" t="s">
        <v>704</v>
      </c>
      <c r="C3809" s="130" t="s">
        <v>87</v>
      </c>
      <c r="D3809" s="130" t="s">
        <v>5</v>
      </c>
      <c r="E3809" s="126" t="s">
        <v>101</v>
      </c>
      <c r="F3809" s="130" t="s">
        <v>159</v>
      </c>
      <c r="G3809" s="127">
        <f t="shared" si="146"/>
        <v>28.73</v>
      </c>
      <c r="H3809" s="130" t="s">
        <v>101</v>
      </c>
    </row>
    <row r="3810" spans="1:8">
      <c r="A3810" s="130" t="s">
        <v>705</v>
      </c>
      <c r="B3810" s="130" t="s">
        <v>706</v>
      </c>
      <c r="C3810" s="130" t="s">
        <v>104</v>
      </c>
      <c r="D3810" s="130" t="s">
        <v>105</v>
      </c>
      <c r="E3810" s="126" t="s">
        <v>227</v>
      </c>
      <c r="F3810" s="130" t="s">
        <v>506</v>
      </c>
      <c r="G3810" s="127">
        <f t="shared" si="146"/>
        <v>9.7349999999999994</v>
      </c>
      <c r="H3810" s="130" t="s">
        <v>227</v>
      </c>
    </row>
    <row r="3811" spans="1:8">
      <c r="A3811" s="130" t="s">
        <v>505</v>
      </c>
      <c r="B3811" s="130" t="s">
        <v>130</v>
      </c>
      <c r="C3811" s="130" t="s">
        <v>104</v>
      </c>
      <c r="D3811" s="130" t="s">
        <v>105</v>
      </c>
      <c r="E3811" s="126" t="s">
        <v>162</v>
      </c>
      <c r="F3811" s="130" t="s">
        <v>506</v>
      </c>
      <c r="G3811" s="127">
        <f t="shared" si="146"/>
        <v>9.0860000000000003</v>
      </c>
      <c r="H3811" s="130" t="s">
        <v>162</v>
      </c>
    </row>
    <row r="3812" spans="1:8">
      <c r="A3812" s="130" t="s">
        <v>507</v>
      </c>
      <c r="B3812" s="130" t="s">
        <v>103</v>
      </c>
      <c r="C3812" s="130" t="s">
        <v>104</v>
      </c>
      <c r="D3812" s="130" t="s">
        <v>105</v>
      </c>
      <c r="E3812" s="126" t="s">
        <v>707</v>
      </c>
      <c r="F3812" s="130" t="s">
        <v>508</v>
      </c>
      <c r="G3812" s="127">
        <f t="shared" si="146"/>
        <v>12.818</v>
      </c>
      <c r="H3812" s="130" t="s">
        <v>707</v>
      </c>
    </row>
    <row r="3813" spans="1:8">
      <c r="A3813" s="130"/>
      <c r="B3813" s="130"/>
      <c r="C3813" s="130"/>
      <c r="D3813" s="130"/>
      <c r="E3813" s="130"/>
      <c r="F3813" s="130" t="s">
        <v>90</v>
      </c>
      <c r="G3813" s="127">
        <f>SUM(G3810:G3812)</f>
        <v>31.638999999999996</v>
      </c>
      <c r="H3813" s="130"/>
    </row>
    <row r="3814" spans="1:8">
      <c r="A3814" s="130"/>
      <c r="B3814" s="130"/>
      <c r="C3814" s="130"/>
      <c r="D3814" s="130"/>
      <c r="E3814" s="130"/>
      <c r="F3814" s="130" t="s">
        <v>92</v>
      </c>
      <c r="G3814" s="127">
        <f>SUM(G3804:G3809)</f>
        <v>932.27522199999999</v>
      </c>
      <c r="H3814" s="130"/>
    </row>
    <row r="3815" spans="1:8">
      <c r="A3815" s="130"/>
      <c r="B3815" s="130"/>
      <c r="C3815" s="130"/>
      <c r="D3815" s="130"/>
      <c r="E3815" s="130"/>
      <c r="F3815" s="130" t="s">
        <v>93</v>
      </c>
      <c r="G3815" s="127">
        <f>SUM(G3813:G3814)</f>
        <v>963.914222</v>
      </c>
      <c r="H3815" s="130"/>
    </row>
    <row r="3817" spans="1:8">
      <c r="A3817" s="1202" t="s">
        <v>94</v>
      </c>
      <c r="B3817" s="1203"/>
      <c r="C3817" s="1203"/>
      <c r="D3817" s="1203"/>
      <c r="E3817" s="1203"/>
      <c r="F3817" s="1203"/>
      <c r="G3817" s="1203"/>
      <c r="H3817" s="1203"/>
    </row>
    <row r="3818" spans="1:8">
      <c r="A3818" s="130" t="s">
        <v>95</v>
      </c>
      <c r="B3818" s="127">
        <f>G3815</f>
        <v>963.914222</v>
      </c>
      <c r="C3818" s="130"/>
      <c r="D3818" s="130"/>
      <c r="E3818" s="130"/>
      <c r="F3818" s="130"/>
      <c r="G3818" s="130"/>
      <c r="H3818" s="130"/>
    </row>
    <row r="3819" spans="1:8">
      <c r="A3819" s="130" t="s">
        <v>96</v>
      </c>
      <c r="B3819" s="127">
        <f>G3813*0.7237</f>
        <v>22.897144299999997</v>
      </c>
      <c r="C3819" s="130"/>
      <c r="D3819" s="130"/>
      <c r="E3819" s="130"/>
      <c r="F3819" s="130"/>
      <c r="G3819" s="130"/>
      <c r="H3819" s="130"/>
    </row>
    <row r="3820" spans="1:8">
      <c r="A3820" s="130" t="s">
        <v>97</v>
      </c>
      <c r="B3820" s="127">
        <f>(B3818+B3819)*0.2457</f>
        <v>242.45955269991001</v>
      </c>
      <c r="C3820" s="130"/>
      <c r="D3820" s="130"/>
      <c r="E3820" s="130"/>
      <c r="F3820" s="130"/>
      <c r="G3820" s="130"/>
      <c r="H3820" s="130"/>
    </row>
    <row r="3821" spans="1:8">
      <c r="A3821" s="130" t="s">
        <v>98</v>
      </c>
      <c r="B3821" s="127">
        <f>SUM(B3818:B3820)</f>
        <v>1229.27091899991</v>
      </c>
      <c r="C3821" s="130"/>
      <c r="D3821" s="130"/>
      <c r="E3821" s="130"/>
      <c r="F3821" s="130"/>
      <c r="G3821" s="130"/>
      <c r="H3821" s="130"/>
    </row>
    <row r="3823" spans="1:8">
      <c r="A3823" s="1202" t="s">
        <v>721</v>
      </c>
      <c r="B3823" s="1203"/>
      <c r="C3823" s="1203"/>
      <c r="D3823" s="1203"/>
      <c r="E3823" s="1203"/>
      <c r="F3823" s="1203"/>
      <c r="G3823" s="1203"/>
      <c r="H3823" s="1203"/>
    </row>
    <row r="3824" spans="1:8">
      <c r="A3824" s="1202" t="s">
        <v>720</v>
      </c>
      <c r="B3824" s="1203"/>
      <c r="C3824" s="1203"/>
      <c r="D3824" s="1203"/>
      <c r="E3824" s="1203"/>
      <c r="F3824" s="1203"/>
      <c r="G3824" s="1203"/>
      <c r="H3824" s="1203"/>
    </row>
    <row r="3826" spans="1:8">
      <c r="A3826" s="1203" t="s">
        <v>504</v>
      </c>
      <c r="B3826" s="1203"/>
      <c r="C3826" s="1203"/>
      <c r="D3826" s="1203"/>
      <c r="E3826" s="1203"/>
      <c r="F3826" s="1203"/>
      <c r="G3826" s="1203"/>
      <c r="H3826" s="1203"/>
    </row>
    <row r="3828" spans="1:8">
      <c r="A3828" s="1203" t="s">
        <v>120</v>
      </c>
      <c r="B3828" s="1203"/>
      <c r="C3828" s="1203"/>
      <c r="D3828" s="1203"/>
      <c r="E3828" s="1203"/>
      <c r="F3828" s="1203"/>
      <c r="G3828" s="1203"/>
      <c r="H3828" s="1203"/>
    </row>
    <row r="3830" spans="1:8">
      <c r="A3830" s="133" t="s">
        <v>30</v>
      </c>
      <c r="B3830" s="133" t="s">
        <v>19</v>
      </c>
      <c r="C3830" s="133" t="s">
        <v>81</v>
      </c>
      <c r="D3830" s="133" t="s">
        <v>77</v>
      </c>
      <c r="E3830" s="133" t="s">
        <v>82</v>
      </c>
      <c r="F3830" s="133" t="s">
        <v>83</v>
      </c>
      <c r="G3830" s="133" t="s">
        <v>84</v>
      </c>
      <c r="H3830" s="133" t="s">
        <v>85</v>
      </c>
    </row>
    <row r="3831" spans="1:8">
      <c r="A3831" s="130" t="s">
        <v>712</v>
      </c>
      <c r="B3831" s="130" t="s">
        <v>713</v>
      </c>
      <c r="C3831" s="130" t="s">
        <v>104</v>
      </c>
      <c r="D3831" s="130" t="s">
        <v>105</v>
      </c>
      <c r="E3831" s="130" t="s">
        <v>714</v>
      </c>
      <c r="F3831" s="126" t="s">
        <v>715</v>
      </c>
      <c r="G3831" s="127">
        <f>E3831*F3831</f>
        <v>3.1004999999999998</v>
      </c>
      <c r="H3831" s="130" t="s">
        <v>714</v>
      </c>
    </row>
    <row r="3832" spans="1:8">
      <c r="A3832" s="130" t="s">
        <v>716</v>
      </c>
      <c r="B3832" s="130" t="s">
        <v>717</v>
      </c>
      <c r="C3832" s="130" t="s">
        <v>87</v>
      </c>
      <c r="D3832" s="130" t="s">
        <v>4</v>
      </c>
      <c r="E3832" s="130" t="s">
        <v>718</v>
      </c>
      <c r="F3832" s="126" t="s">
        <v>719</v>
      </c>
      <c r="G3832" s="127">
        <f>E3832*F3832</f>
        <v>0.10640000000000001</v>
      </c>
      <c r="H3832" s="130" t="s">
        <v>718</v>
      </c>
    </row>
    <row r="3833" spans="1:8">
      <c r="A3833" s="130" t="s">
        <v>711</v>
      </c>
      <c r="B3833" s="130" t="s">
        <v>722</v>
      </c>
      <c r="C3833" s="130" t="s">
        <v>87</v>
      </c>
      <c r="D3833" s="130" t="s">
        <v>5</v>
      </c>
      <c r="E3833" s="130" t="s">
        <v>101</v>
      </c>
      <c r="F3833" s="127">
        <v>245</v>
      </c>
      <c r="G3833" s="127">
        <f t="shared" ref="G3833:G3834" si="147">E3833*F3833</f>
        <v>245</v>
      </c>
      <c r="H3833" s="130" t="s">
        <v>101</v>
      </c>
    </row>
    <row r="3834" spans="1:8">
      <c r="A3834" s="130" t="s">
        <v>705</v>
      </c>
      <c r="B3834" s="130" t="s">
        <v>706</v>
      </c>
      <c r="C3834" s="130" t="s">
        <v>104</v>
      </c>
      <c r="D3834" s="130" t="s">
        <v>105</v>
      </c>
      <c r="E3834" s="130" t="s">
        <v>714</v>
      </c>
      <c r="F3834" s="126" t="s">
        <v>506</v>
      </c>
      <c r="G3834" s="127">
        <f t="shared" si="147"/>
        <v>4.2185000000000006</v>
      </c>
      <c r="H3834" s="130" t="s">
        <v>714</v>
      </c>
    </row>
    <row r="3835" spans="1:8">
      <c r="A3835" s="130"/>
      <c r="B3835" s="130"/>
      <c r="C3835" s="130"/>
      <c r="D3835" s="130"/>
      <c r="E3835" s="130"/>
      <c r="F3835" s="130" t="s">
        <v>90</v>
      </c>
      <c r="G3835" s="127">
        <f>G3831+G3834</f>
        <v>7.3190000000000008</v>
      </c>
      <c r="H3835" s="130"/>
    </row>
    <row r="3836" spans="1:8">
      <c r="A3836" s="130"/>
      <c r="B3836" s="130"/>
      <c r="C3836" s="130"/>
      <c r="D3836" s="130"/>
      <c r="E3836" s="130"/>
      <c r="F3836" s="130" t="s">
        <v>92</v>
      </c>
      <c r="G3836" s="127">
        <f>G3833+G3832</f>
        <v>245.10640000000001</v>
      </c>
      <c r="H3836" s="130"/>
    </row>
    <row r="3837" spans="1:8">
      <c r="A3837" s="130"/>
      <c r="B3837" s="130"/>
      <c r="C3837" s="130"/>
      <c r="D3837" s="130"/>
      <c r="E3837" s="130"/>
      <c r="F3837" s="130" t="s">
        <v>93</v>
      </c>
      <c r="G3837" s="127">
        <f>SUM(G3835:G3836)</f>
        <v>252.4254</v>
      </c>
      <c r="H3837" s="130"/>
    </row>
    <row r="3839" spans="1:8">
      <c r="A3839" s="1202" t="s">
        <v>94</v>
      </c>
      <c r="B3839" s="1203"/>
      <c r="C3839" s="1203"/>
      <c r="D3839" s="1203"/>
      <c r="E3839" s="1203"/>
      <c r="F3839" s="1203"/>
      <c r="G3839" s="1203"/>
      <c r="H3839" s="1203"/>
    </row>
    <row r="3840" spans="1:8">
      <c r="A3840" s="130" t="s">
        <v>95</v>
      </c>
      <c r="B3840" s="127">
        <f>G3837</f>
        <v>252.4254</v>
      </c>
      <c r="C3840" s="130"/>
      <c r="D3840" s="130"/>
      <c r="E3840" s="130"/>
      <c r="F3840" s="130"/>
      <c r="G3840" s="130"/>
      <c r="H3840" s="130"/>
    </row>
    <row r="3841" spans="1:8">
      <c r="A3841" s="130" t="s">
        <v>96</v>
      </c>
      <c r="B3841" s="127">
        <f>G3835*0.7237</f>
        <v>5.2967603000000008</v>
      </c>
      <c r="C3841" s="130"/>
      <c r="D3841" s="130"/>
      <c r="E3841" s="130"/>
      <c r="F3841" s="130"/>
      <c r="G3841" s="130"/>
      <c r="H3841" s="130"/>
    </row>
    <row r="3842" spans="1:8">
      <c r="A3842" s="130" t="s">
        <v>97</v>
      </c>
      <c r="B3842" s="127">
        <f>(B3840+B3841)*0.2457</f>
        <v>63.322334785709998</v>
      </c>
      <c r="C3842" s="130"/>
      <c r="D3842" s="130"/>
      <c r="E3842" s="130"/>
      <c r="F3842" s="130"/>
      <c r="G3842" s="130"/>
      <c r="H3842" s="130"/>
    </row>
    <row r="3843" spans="1:8">
      <c r="A3843" s="130" t="s">
        <v>98</v>
      </c>
      <c r="B3843" s="127">
        <f>SUM(B3840:B3842)</f>
        <v>321.04449508570997</v>
      </c>
      <c r="C3843" s="130"/>
      <c r="D3843" s="130"/>
      <c r="E3843" s="130"/>
      <c r="F3843" s="130"/>
      <c r="G3843" s="130"/>
      <c r="H3843" s="130"/>
    </row>
    <row r="3844" spans="1:8">
      <c r="A3844" s="130"/>
      <c r="B3844" s="127"/>
      <c r="C3844" s="130"/>
      <c r="D3844" s="130"/>
      <c r="E3844" s="130"/>
      <c r="F3844" s="130"/>
      <c r="G3844" s="130"/>
      <c r="H3844" s="130"/>
    </row>
    <row r="3845" spans="1:8">
      <c r="A3845" s="130"/>
      <c r="B3845" s="127"/>
      <c r="C3845" s="130"/>
      <c r="D3845" s="130"/>
      <c r="E3845" s="130"/>
      <c r="F3845" s="130"/>
      <c r="G3845" s="130"/>
      <c r="H3845" s="130"/>
    </row>
    <row r="3846" spans="1:8">
      <c r="A3846" s="1202" t="s">
        <v>744</v>
      </c>
      <c r="B3846" s="1203"/>
      <c r="C3846" s="1203"/>
      <c r="D3846" s="1203"/>
      <c r="E3846" s="1203"/>
      <c r="F3846" s="1203"/>
      <c r="G3846" s="1203"/>
      <c r="H3846" s="1203"/>
    </row>
    <row r="3847" spans="1:8">
      <c r="A3847" s="1202" t="s">
        <v>730</v>
      </c>
      <c r="B3847" s="1203"/>
      <c r="C3847" s="1203"/>
      <c r="D3847" s="1203"/>
      <c r="E3847" s="1203"/>
      <c r="F3847" s="1203"/>
      <c r="G3847" s="1203"/>
      <c r="H3847" s="1203"/>
    </row>
    <row r="3848" spans="1:8">
      <c r="A3848" s="134"/>
      <c r="B3848" s="130"/>
      <c r="C3848" s="130"/>
      <c r="D3848" s="130"/>
      <c r="E3848" s="130"/>
      <c r="F3848" s="130"/>
      <c r="G3848" s="130"/>
      <c r="H3848" s="130"/>
    </row>
    <row r="3849" spans="1:8">
      <c r="A3849" s="1203" t="s">
        <v>80</v>
      </c>
      <c r="B3849" s="1203"/>
      <c r="C3849" s="1203"/>
      <c r="D3849" s="1203"/>
      <c r="E3849" s="1203"/>
      <c r="F3849" s="1203"/>
      <c r="G3849" s="1203"/>
      <c r="H3849" s="1203"/>
    </row>
    <row r="3850" spans="1:8">
      <c r="A3850" s="130"/>
      <c r="B3850" s="130"/>
      <c r="C3850" s="130"/>
      <c r="D3850" s="130"/>
      <c r="E3850" s="130"/>
      <c r="F3850" s="130"/>
      <c r="G3850" s="130"/>
      <c r="H3850" s="130"/>
    </row>
    <row r="3851" spans="1:8">
      <c r="A3851" s="1203" t="s">
        <v>120</v>
      </c>
      <c r="B3851" s="1203"/>
      <c r="C3851" s="1203"/>
      <c r="D3851" s="1203"/>
      <c r="E3851" s="1203"/>
      <c r="F3851" s="1203"/>
      <c r="G3851" s="1203"/>
      <c r="H3851" s="1203"/>
    </row>
    <row r="3852" spans="1:8">
      <c r="A3852" s="130"/>
      <c r="B3852" s="130"/>
      <c r="C3852" s="130"/>
      <c r="D3852" s="130"/>
      <c r="E3852" s="130"/>
      <c r="F3852" s="130"/>
      <c r="G3852" s="130"/>
      <c r="H3852" s="130"/>
    </row>
    <row r="3853" spans="1:8">
      <c r="A3853" s="133" t="s">
        <v>30</v>
      </c>
      <c r="B3853" s="133" t="s">
        <v>19</v>
      </c>
      <c r="C3853" s="133" t="s">
        <v>81</v>
      </c>
      <c r="D3853" s="133" t="s">
        <v>77</v>
      </c>
      <c r="E3853" s="133" t="s">
        <v>82</v>
      </c>
      <c r="F3853" s="133" t="s">
        <v>83</v>
      </c>
      <c r="G3853" s="133" t="s">
        <v>84</v>
      </c>
      <c r="H3853" s="133" t="s">
        <v>85</v>
      </c>
    </row>
    <row r="3854" spans="1:8">
      <c r="A3854" s="130" t="s">
        <v>731</v>
      </c>
      <c r="B3854" s="130" t="s">
        <v>732</v>
      </c>
      <c r="C3854" s="130" t="s">
        <v>87</v>
      </c>
      <c r="D3854" s="130" t="s">
        <v>5</v>
      </c>
      <c r="E3854" s="130" t="s">
        <v>101</v>
      </c>
      <c r="F3854" s="130" t="s">
        <v>733</v>
      </c>
      <c r="G3854" s="130" t="s">
        <v>733</v>
      </c>
      <c r="H3854" s="130" t="s">
        <v>101</v>
      </c>
    </row>
    <row r="3855" spans="1:8">
      <c r="A3855" s="130" t="s">
        <v>265</v>
      </c>
      <c r="B3855" s="130" t="s">
        <v>266</v>
      </c>
      <c r="C3855" s="130" t="s">
        <v>87</v>
      </c>
      <c r="D3855" s="130" t="s">
        <v>5</v>
      </c>
      <c r="E3855" s="130" t="s">
        <v>267</v>
      </c>
      <c r="F3855" s="130" t="s">
        <v>311</v>
      </c>
      <c r="G3855" s="130" t="s">
        <v>269</v>
      </c>
      <c r="H3855" s="130" t="s">
        <v>267</v>
      </c>
    </row>
    <row r="3856" spans="1:8">
      <c r="A3856" s="130" t="s">
        <v>270</v>
      </c>
      <c r="B3856" s="130" t="s">
        <v>271</v>
      </c>
      <c r="C3856" s="130" t="s">
        <v>108</v>
      </c>
      <c r="D3856" s="130" t="s">
        <v>105</v>
      </c>
      <c r="E3856" s="130" t="s">
        <v>734</v>
      </c>
      <c r="F3856" s="130" t="s">
        <v>735</v>
      </c>
      <c r="G3856" s="130" t="s">
        <v>736</v>
      </c>
      <c r="H3856" s="130" t="s">
        <v>734</v>
      </c>
    </row>
    <row r="3857" spans="1:8">
      <c r="A3857" s="130" t="s">
        <v>109</v>
      </c>
      <c r="B3857" s="130" t="s">
        <v>110</v>
      </c>
      <c r="C3857" s="130" t="s">
        <v>108</v>
      </c>
      <c r="D3857" s="130" t="s">
        <v>105</v>
      </c>
      <c r="E3857" s="130" t="s">
        <v>179</v>
      </c>
      <c r="F3857" s="130" t="s">
        <v>579</v>
      </c>
      <c r="G3857" s="130" t="s">
        <v>737</v>
      </c>
      <c r="H3857" s="130" t="s">
        <v>179</v>
      </c>
    </row>
    <row r="3858" spans="1:8">
      <c r="A3858" s="130"/>
      <c r="B3858" s="130"/>
      <c r="C3858" s="130"/>
      <c r="D3858" s="130"/>
      <c r="E3858" s="130"/>
      <c r="F3858" s="130" t="s">
        <v>90</v>
      </c>
      <c r="G3858" s="130" t="s">
        <v>738</v>
      </c>
      <c r="H3858" s="130"/>
    </row>
    <row r="3859" spans="1:8">
      <c r="A3859" s="130"/>
      <c r="B3859" s="130"/>
      <c r="C3859" s="130"/>
      <c r="D3859" s="130"/>
      <c r="E3859" s="130"/>
      <c r="F3859" s="130" t="s">
        <v>92</v>
      </c>
      <c r="G3859" s="130" t="s">
        <v>739</v>
      </c>
      <c r="H3859" s="130"/>
    </row>
    <row r="3860" spans="1:8">
      <c r="A3860" s="130"/>
      <c r="B3860" s="130"/>
      <c r="C3860" s="130"/>
      <c r="D3860" s="130"/>
      <c r="E3860" s="130"/>
      <c r="F3860" s="130" t="s">
        <v>93</v>
      </c>
      <c r="G3860" s="130" t="s">
        <v>740</v>
      </c>
      <c r="H3860" s="130"/>
    </row>
    <row r="3861" spans="1:8">
      <c r="A3861" s="130"/>
      <c r="B3861" s="130"/>
      <c r="C3861" s="130"/>
      <c r="D3861" s="130"/>
      <c r="E3861" s="130"/>
      <c r="F3861" s="130"/>
      <c r="G3861" s="130"/>
      <c r="H3861" s="130"/>
    </row>
    <row r="3862" spans="1:8">
      <c r="A3862" s="1202" t="s">
        <v>94</v>
      </c>
      <c r="B3862" s="1203"/>
      <c r="C3862" s="1203"/>
      <c r="D3862" s="1203"/>
      <c r="E3862" s="1203"/>
      <c r="F3862" s="1203"/>
      <c r="G3862" s="1203"/>
      <c r="H3862" s="1203"/>
    </row>
    <row r="3863" spans="1:8">
      <c r="A3863" s="130" t="s">
        <v>95</v>
      </c>
      <c r="B3863" s="130" t="s">
        <v>740</v>
      </c>
      <c r="C3863" s="130"/>
      <c r="D3863" s="130"/>
      <c r="E3863" s="130"/>
      <c r="F3863" s="130"/>
      <c r="G3863" s="130"/>
      <c r="H3863" s="130"/>
    </row>
    <row r="3864" spans="1:8">
      <c r="A3864" s="130" t="s">
        <v>96</v>
      </c>
      <c r="B3864" s="130" t="s">
        <v>741</v>
      </c>
      <c r="C3864" s="130"/>
      <c r="D3864" s="130"/>
      <c r="E3864" s="130"/>
      <c r="F3864" s="130"/>
      <c r="G3864" s="130"/>
      <c r="H3864" s="130"/>
    </row>
    <row r="3865" spans="1:8">
      <c r="A3865" s="130" t="s">
        <v>97</v>
      </c>
      <c r="B3865" s="130" t="s">
        <v>742</v>
      </c>
      <c r="C3865" s="130"/>
      <c r="D3865" s="130"/>
      <c r="E3865" s="130"/>
      <c r="F3865" s="130"/>
      <c r="G3865" s="130"/>
      <c r="H3865" s="130"/>
    </row>
    <row r="3866" spans="1:8">
      <c r="A3866" s="130" t="s">
        <v>98</v>
      </c>
      <c r="B3866" s="130" t="s">
        <v>743</v>
      </c>
      <c r="C3866" s="130"/>
      <c r="D3866" s="130"/>
      <c r="E3866" s="130"/>
      <c r="F3866" s="130"/>
      <c r="G3866" s="130"/>
      <c r="H3866" s="130"/>
    </row>
    <row r="3869" spans="1:8">
      <c r="A3869" s="1202" t="s">
        <v>745</v>
      </c>
      <c r="B3869" s="1203"/>
      <c r="C3869" s="1203"/>
      <c r="D3869" s="1203"/>
      <c r="E3869" s="1203"/>
      <c r="F3869" s="1203"/>
      <c r="G3869" s="1203"/>
      <c r="H3869" s="1203"/>
    </row>
    <row r="3870" spans="1:8">
      <c r="A3870" s="1202" t="s">
        <v>746</v>
      </c>
      <c r="B3870" s="1203"/>
      <c r="C3870" s="1203"/>
      <c r="D3870" s="1203"/>
      <c r="E3870" s="1203"/>
      <c r="F3870" s="1203"/>
      <c r="G3870" s="1203"/>
      <c r="H3870" s="1203"/>
    </row>
    <row r="3872" spans="1:8">
      <c r="A3872" s="1203" t="s">
        <v>504</v>
      </c>
      <c r="B3872" s="1203"/>
      <c r="C3872" s="1203"/>
      <c r="D3872" s="1203"/>
      <c r="E3872" s="1203"/>
      <c r="F3872" s="1203"/>
      <c r="G3872" s="1203"/>
      <c r="H3872" s="1203"/>
    </row>
    <row r="3874" spans="1:8">
      <c r="A3874" s="1203" t="s">
        <v>99</v>
      </c>
      <c r="B3874" s="1203"/>
      <c r="C3874" s="1203"/>
      <c r="D3874" s="1203"/>
      <c r="E3874" s="1203"/>
      <c r="F3874" s="1203"/>
      <c r="G3874" s="1203"/>
      <c r="H3874" s="1203"/>
    </row>
    <row r="3876" spans="1:8">
      <c r="A3876" s="133" t="s">
        <v>30</v>
      </c>
      <c r="B3876" s="133" t="s">
        <v>19</v>
      </c>
      <c r="C3876" s="133" t="s">
        <v>81</v>
      </c>
      <c r="D3876" s="133" t="s">
        <v>77</v>
      </c>
      <c r="E3876" s="133" t="s">
        <v>82</v>
      </c>
      <c r="F3876" s="133" t="s">
        <v>83</v>
      </c>
      <c r="G3876" s="133" t="s">
        <v>84</v>
      </c>
      <c r="H3876" s="133" t="s">
        <v>85</v>
      </c>
    </row>
    <row r="3877" spans="1:8">
      <c r="A3877" s="130" t="s">
        <v>747</v>
      </c>
      <c r="B3877" s="130" t="s">
        <v>748</v>
      </c>
      <c r="C3877" s="130" t="s">
        <v>87</v>
      </c>
      <c r="D3877" s="130" t="s">
        <v>112</v>
      </c>
      <c r="E3877" s="130" t="s">
        <v>749</v>
      </c>
      <c r="F3877" s="130" t="s">
        <v>750</v>
      </c>
      <c r="G3877" s="127">
        <f>E3877*F3877</f>
        <v>0.36799999999999999</v>
      </c>
      <c r="H3877" s="130" t="s">
        <v>749</v>
      </c>
    </row>
    <row r="3878" spans="1:8">
      <c r="A3878" s="130" t="s">
        <v>751</v>
      </c>
      <c r="B3878" s="130" t="s">
        <v>752</v>
      </c>
      <c r="C3878" s="130" t="s">
        <v>87</v>
      </c>
      <c r="D3878" s="130" t="s">
        <v>102</v>
      </c>
      <c r="E3878" s="130" t="s">
        <v>753</v>
      </c>
      <c r="F3878" s="130" t="s">
        <v>754</v>
      </c>
      <c r="G3878" s="127">
        <f t="shared" ref="G3878:G3881" si="148">E3878*F3878</f>
        <v>1.6</v>
      </c>
      <c r="H3878" s="130" t="s">
        <v>753</v>
      </c>
    </row>
    <row r="3879" spans="1:8">
      <c r="A3879" s="130" t="s">
        <v>756</v>
      </c>
      <c r="B3879" s="130" t="s">
        <v>755</v>
      </c>
      <c r="C3879" s="130" t="s">
        <v>87</v>
      </c>
      <c r="D3879" s="130" t="s">
        <v>100</v>
      </c>
      <c r="E3879" s="130" t="s">
        <v>101</v>
      </c>
      <c r="F3879" s="130">
        <v>490</v>
      </c>
      <c r="G3879" s="127">
        <f t="shared" si="148"/>
        <v>490</v>
      </c>
      <c r="H3879" s="130" t="s">
        <v>101</v>
      </c>
    </row>
    <row r="3880" spans="1:8">
      <c r="A3880" s="130" t="s">
        <v>505</v>
      </c>
      <c r="B3880" s="130" t="s">
        <v>130</v>
      </c>
      <c r="C3880" s="130" t="s">
        <v>104</v>
      </c>
      <c r="D3880" s="130" t="s">
        <v>105</v>
      </c>
      <c r="E3880" s="130" t="s">
        <v>353</v>
      </c>
      <c r="F3880" s="130" t="s">
        <v>506</v>
      </c>
      <c r="G3880" s="127">
        <f t="shared" si="148"/>
        <v>7.7880000000000003</v>
      </c>
      <c r="H3880" s="130" t="s">
        <v>353</v>
      </c>
    </row>
    <row r="3881" spans="1:8">
      <c r="A3881" s="130" t="s">
        <v>507</v>
      </c>
      <c r="B3881" s="130" t="s">
        <v>103</v>
      </c>
      <c r="C3881" s="130" t="s">
        <v>104</v>
      </c>
      <c r="D3881" s="130" t="s">
        <v>105</v>
      </c>
      <c r="E3881" s="130" t="s">
        <v>106</v>
      </c>
      <c r="F3881" s="130" t="s">
        <v>508</v>
      </c>
      <c r="G3881" s="127">
        <f t="shared" si="148"/>
        <v>8.84</v>
      </c>
      <c r="H3881" s="130" t="s">
        <v>106</v>
      </c>
    </row>
    <row r="3882" spans="1:8">
      <c r="A3882" s="130"/>
      <c r="B3882" s="130"/>
      <c r="C3882" s="130"/>
      <c r="D3882" s="130"/>
      <c r="E3882" s="130"/>
      <c r="F3882" s="130"/>
      <c r="G3882" s="127"/>
      <c r="H3882" s="130"/>
    </row>
    <row r="3883" spans="1:8">
      <c r="A3883" s="130"/>
      <c r="B3883" s="130"/>
      <c r="C3883" s="130"/>
      <c r="D3883" s="130"/>
      <c r="E3883" s="130"/>
      <c r="F3883" s="130" t="s">
        <v>90</v>
      </c>
      <c r="G3883" s="127">
        <f>SUM(G3880:G3881)</f>
        <v>16.628</v>
      </c>
      <c r="H3883" s="130"/>
    </row>
    <row r="3884" spans="1:8">
      <c r="A3884" s="130"/>
      <c r="B3884" s="130"/>
      <c r="C3884" s="130"/>
      <c r="D3884" s="130"/>
      <c r="E3884" s="130"/>
      <c r="F3884" s="130" t="s">
        <v>92</v>
      </c>
      <c r="G3884" s="127">
        <f>SUM(G3877:G3879)</f>
        <v>491.96800000000002</v>
      </c>
      <c r="H3884" s="130"/>
    </row>
    <row r="3885" spans="1:8">
      <c r="A3885" s="130"/>
      <c r="B3885" s="130"/>
      <c r="C3885" s="130"/>
      <c r="D3885" s="130"/>
      <c r="E3885" s="130"/>
      <c r="F3885" s="130" t="s">
        <v>93</v>
      </c>
      <c r="G3885" s="127">
        <f>G3884+G3883</f>
        <v>508.596</v>
      </c>
      <c r="H3885" s="130"/>
    </row>
    <row r="3887" spans="1:8">
      <c r="A3887" s="1202" t="s">
        <v>94</v>
      </c>
      <c r="B3887" s="1203"/>
      <c r="C3887" s="1203"/>
      <c r="D3887" s="1203"/>
      <c r="E3887" s="1203"/>
      <c r="F3887" s="1203"/>
      <c r="G3887" s="1203"/>
      <c r="H3887" s="1203"/>
    </row>
    <row r="3888" spans="1:8">
      <c r="A3888" s="130" t="s">
        <v>95</v>
      </c>
      <c r="B3888" s="127">
        <f>G3885</f>
        <v>508.596</v>
      </c>
      <c r="C3888" s="130"/>
      <c r="D3888" s="130"/>
      <c r="E3888" s="130"/>
      <c r="F3888" s="130"/>
      <c r="G3888" s="130"/>
      <c r="H3888" s="130"/>
    </row>
    <row r="3889" spans="1:8">
      <c r="A3889" s="130" t="s">
        <v>96</v>
      </c>
      <c r="B3889" s="127">
        <f>G3883*0.7237</f>
        <v>12.0336836</v>
      </c>
      <c r="C3889" s="130"/>
      <c r="D3889" s="130"/>
      <c r="E3889" s="130"/>
      <c r="F3889" s="130"/>
      <c r="G3889" s="130"/>
      <c r="H3889" s="130"/>
    </row>
    <row r="3890" spans="1:8">
      <c r="A3890" s="130" t="s">
        <v>97</v>
      </c>
      <c r="B3890" s="127">
        <f>(B3888+B3889)*0.2457</f>
        <v>127.91871326052001</v>
      </c>
      <c r="C3890" s="130"/>
      <c r="D3890" s="130"/>
      <c r="E3890" s="130"/>
      <c r="F3890" s="130"/>
      <c r="G3890" s="130"/>
      <c r="H3890" s="130"/>
    </row>
    <row r="3891" spans="1:8">
      <c r="A3891" s="130" t="s">
        <v>98</v>
      </c>
      <c r="B3891" s="127">
        <f>SUM(B3888:B3890)</f>
        <v>648.54839686052003</v>
      </c>
      <c r="C3891" s="130"/>
      <c r="D3891" s="130"/>
      <c r="E3891" s="130"/>
      <c r="F3891" s="130"/>
      <c r="G3891" s="130"/>
      <c r="H3891" s="130"/>
    </row>
    <row r="3893" spans="1:8">
      <c r="A3893" s="1202" t="s">
        <v>796</v>
      </c>
      <c r="B3893" s="1203"/>
      <c r="C3893" s="1203"/>
      <c r="D3893" s="1203"/>
      <c r="E3893" s="1203"/>
      <c r="F3893" s="1203"/>
      <c r="G3893" s="1203"/>
      <c r="H3893" s="1203"/>
    </row>
    <row r="3894" spans="1:8">
      <c r="A3894" s="1202" t="s">
        <v>791</v>
      </c>
      <c r="B3894" s="1203"/>
      <c r="C3894" s="1203"/>
      <c r="D3894" s="1203"/>
      <c r="E3894" s="1203"/>
      <c r="F3894" s="1203"/>
      <c r="G3894" s="1203"/>
      <c r="H3894" s="1203"/>
    </row>
    <row r="3896" spans="1:8">
      <c r="A3896" s="1203" t="s">
        <v>709</v>
      </c>
      <c r="B3896" s="1203"/>
      <c r="C3896" s="1203"/>
      <c r="D3896" s="1203"/>
      <c r="E3896" s="1203"/>
      <c r="F3896" s="1203"/>
      <c r="G3896" s="1203"/>
      <c r="H3896" s="1203"/>
    </row>
    <row r="3898" spans="1:8">
      <c r="A3898" s="1203" t="s">
        <v>120</v>
      </c>
      <c r="B3898" s="1203"/>
      <c r="C3898" s="1203"/>
      <c r="D3898" s="1203"/>
      <c r="E3898" s="1203"/>
      <c r="F3898" s="1203"/>
      <c r="G3898" s="1203"/>
      <c r="H3898" s="1203"/>
    </row>
    <row r="3900" spans="1:8">
      <c r="A3900" s="133" t="s">
        <v>30</v>
      </c>
      <c r="B3900" s="133" t="s">
        <v>19</v>
      </c>
      <c r="C3900" s="133" t="s">
        <v>81</v>
      </c>
      <c r="D3900" s="133" t="s">
        <v>77</v>
      </c>
      <c r="E3900" s="133" t="s">
        <v>82</v>
      </c>
      <c r="F3900" s="133" t="s">
        <v>83</v>
      </c>
      <c r="G3900" s="133" t="s">
        <v>84</v>
      </c>
      <c r="H3900" s="133" t="s">
        <v>85</v>
      </c>
    </row>
    <row r="3901" spans="1:8">
      <c r="A3901" s="130" t="s">
        <v>797</v>
      </c>
      <c r="B3901" s="130" t="s">
        <v>792</v>
      </c>
      <c r="C3901" s="130" t="s">
        <v>87</v>
      </c>
      <c r="D3901" s="130" t="s">
        <v>5</v>
      </c>
      <c r="E3901" s="130" t="s">
        <v>101</v>
      </c>
      <c r="F3901" s="127">
        <v>112.8</v>
      </c>
      <c r="G3901" s="127">
        <f>E3901*F3901</f>
        <v>112.8</v>
      </c>
      <c r="H3901" s="130" t="s">
        <v>101</v>
      </c>
    </row>
    <row r="3902" spans="1:8">
      <c r="A3902" s="130" t="s">
        <v>793</v>
      </c>
      <c r="B3902" s="130" t="s">
        <v>794</v>
      </c>
      <c r="C3902" s="130" t="s">
        <v>108</v>
      </c>
      <c r="D3902" s="130" t="s">
        <v>5</v>
      </c>
      <c r="E3902" s="130" t="s">
        <v>106</v>
      </c>
      <c r="F3902" s="130" t="s">
        <v>795</v>
      </c>
      <c r="G3902" s="127">
        <f>E3902*F3902</f>
        <v>5.54</v>
      </c>
      <c r="H3902" s="130" t="s">
        <v>106</v>
      </c>
    </row>
    <row r="3903" spans="1:8">
      <c r="A3903" s="130"/>
      <c r="B3903" s="130"/>
      <c r="C3903" s="130"/>
      <c r="D3903" s="130"/>
      <c r="E3903" s="130"/>
      <c r="F3903" s="130" t="s">
        <v>90</v>
      </c>
      <c r="G3903" s="127">
        <f>G3902</f>
        <v>5.54</v>
      </c>
      <c r="H3903" s="130"/>
    </row>
    <row r="3904" spans="1:8">
      <c r="A3904" s="130"/>
      <c r="B3904" s="130"/>
      <c r="C3904" s="130"/>
      <c r="D3904" s="130"/>
      <c r="E3904" s="130"/>
      <c r="F3904" s="130" t="s">
        <v>92</v>
      </c>
      <c r="G3904" s="127">
        <f>G3901</f>
        <v>112.8</v>
      </c>
      <c r="H3904" s="130"/>
    </row>
    <row r="3905" spans="1:8">
      <c r="A3905" s="130"/>
      <c r="B3905" s="130"/>
      <c r="C3905" s="130"/>
      <c r="D3905" s="130"/>
      <c r="E3905" s="130"/>
      <c r="F3905" s="130" t="s">
        <v>93</v>
      </c>
      <c r="G3905" s="127">
        <f>SUM(G3903:G3904)</f>
        <v>118.34</v>
      </c>
      <c r="H3905" s="130"/>
    </row>
    <row r="3907" spans="1:8">
      <c r="A3907" s="1202" t="s">
        <v>94</v>
      </c>
      <c r="B3907" s="1203"/>
      <c r="C3907" s="1203"/>
      <c r="D3907" s="1203"/>
      <c r="E3907" s="1203"/>
      <c r="F3907" s="1203"/>
      <c r="G3907" s="1203"/>
      <c r="H3907" s="1203"/>
    </row>
    <row r="3908" spans="1:8">
      <c r="A3908" s="130" t="s">
        <v>95</v>
      </c>
      <c r="B3908" s="127">
        <f>G3905</f>
        <v>118.34</v>
      </c>
      <c r="C3908" s="130"/>
      <c r="D3908" s="130"/>
      <c r="E3908" s="130"/>
      <c r="F3908" s="130"/>
      <c r="G3908" s="130"/>
      <c r="H3908" s="130"/>
    </row>
    <row r="3909" spans="1:8">
      <c r="A3909" s="130" t="s">
        <v>96</v>
      </c>
      <c r="B3909" s="127">
        <f>G3903*0.7237</f>
        <v>4.0092980000000003</v>
      </c>
      <c r="C3909" s="130"/>
      <c r="D3909" s="130"/>
      <c r="E3909" s="130"/>
      <c r="F3909" s="130"/>
      <c r="G3909" s="130"/>
      <c r="H3909" s="130"/>
    </row>
    <row r="3910" spans="1:8">
      <c r="A3910" s="130" t="s">
        <v>97</v>
      </c>
      <c r="B3910" s="127">
        <f>(B3908+B3909)*0.2457</f>
        <v>30.061222518600001</v>
      </c>
      <c r="C3910" s="130"/>
      <c r="D3910" s="130"/>
      <c r="E3910" s="130"/>
      <c r="F3910" s="130"/>
      <c r="G3910" s="130"/>
      <c r="H3910" s="130"/>
    </row>
    <row r="3911" spans="1:8">
      <c r="A3911" s="130" t="s">
        <v>98</v>
      </c>
      <c r="B3911" s="127">
        <f>SUM(B3908:B3910)</f>
        <v>152.41052051860001</v>
      </c>
      <c r="C3911" s="130"/>
      <c r="D3911" s="130"/>
      <c r="E3911" s="130"/>
      <c r="F3911" s="130"/>
      <c r="G3911" s="130"/>
      <c r="H3911" s="130"/>
    </row>
    <row r="3913" spans="1:8">
      <c r="A3913" s="1202" t="s">
        <v>796</v>
      </c>
      <c r="B3913" s="1203"/>
      <c r="C3913" s="1203"/>
      <c r="D3913" s="1203"/>
      <c r="E3913" s="1203"/>
      <c r="F3913" s="1203"/>
      <c r="G3913" s="1203"/>
      <c r="H3913" s="1203"/>
    </row>
    <row r="3914" spans="1:8">
      <c r="A3914" s="1202" t="s">
        <v>798</v>
      </c>
      <c r="B3914" s="1203"/>
      <c r="C3914" s="1203"/>
      <c r="D3914" s="1203"/>
      <c r="E3914" s="1203"/>
      <c r="F3914" s="1203"/>
      <c r="G3914" s="1203"/>
      <c r="H3914" s="1203"/>
    </row>
    <row r="3917" spans="1:8">
      <c r="A3917" s="1202" t="s">
        <v>799</v>
      </c>
      <c r="B3917" s="1203"/>
      <c r="C3917" s="1203"/>
      <c r="D3917" s="1203"/>
      <c r="E3917" s="1203"/>
      <c r="F3917" s="1203"/>
      <c r="G3917" s="1203"/>
      <c r="H3917" s="1203"/>
    </row>
    <row r="3918" spans="1:8">
      <c r="A3918" s="1202" t="s">
        <v>800</v>
      </c>
      <c r="B3918" s="1203"/>
      <c r="C3918" s="1203"/>
      <c r="D3918" s="1203"/>
      <c r="E3918" s="1203"/>
      <c r="F3918" s="1203"/>
      <c r="G3918" s="1203"/>
      <c r="H3918" s="1203"/>
    </row>
    <row r="3920" spans="1:8">
      <c r="A3920" s="1203" t="s">
        <v>80</v>
      </c>
      <c r="B3920" s="1203"/>
      <c r="C3920" s="1203"/>
      <c r="D3920" s="1203"/>
      <c r="E3920" s="1203"/>
      <c r="F3920" s="1203"/>
      <c r="G3920" s="1203"/>
      <c r="H3920" s="1203"/>
    </row>
    <row r="3922" spans="1:8">
      <c r="A3922" s="1203" t="s">
        <v>120</v>
      </c>
      <c r="B3922" s="1203"/>
      <c r="C3922" s="1203"/>
      <c r="D3922" s="1203"/>
      <c r="E3922" s="1203"/>
      <c r="F3922" s="1203"/>
      <c r="G3922" s="1203"/>
      <c r="H3922" s="1203"/>
    </row>
    <row r="3924" spans="1:8">
      <c r="A3924" s="133" t="s">
        <v>30</v>
      </c>
      <c r="B3924" s="133" t="s">
        <v>19</v>
      </c>
      <c r="C3924" s="133" t="s">
        <v>81</v>
      </c>
      <c r="D3924" s="133" t="s">
        <v>77</v>
      </c>
      <c r="E3924" s="133" t="s">
        <v>82</v>
      </c>
      <c r="F3924" s="133" t="s">
        <v>83</v>
      </c>
      <c r="G3924" s="133" t="s">
        <v>84</v>
      </c>
      <c r="H3924" s="133" t="s">
        <v>85</v>
      </c>
    </row>
    <row r="3925" spans="1:8">
      <c r="A3925" s="130" t="s">
        <v>801</v>
      </c>
      <c r="B3925" s="130" t="s">
        <v>802</v>
      </c>
      <c r="C3925" s="130" t="s">
        <v>87</v>
      </c>
      <c r="D3925" s="130" t="s">
        <v>5</v>
      </c>
      <c r="E3925" s="130" t="s">
        <v>101</v>
      </c>
      <c r="F3925" s="130" t="s">
        <v>803</v>
      </c>
      <c r="G3925" s="130" t="s">
        <v>803</v>
      </c>
      <c r="H3925" s="130" t="s">
        <v>101</v>
      </c>
    </row>
    <row r="3926" spans="1:8">
      <c r="A3926" s="130" t="s">
        <v>265</v>
      </c>
      <c r="B3926" s="130" t="s">
        <v>266</v>
      </c>
      <c r="C3926" s="130" t="s">
        <v>87</v>
      </c>
      <c r="D3926" s="130" t="s">
        <v>5</v>
      </c>
      <c r="E3926" s="130" t="s">
        <v>804</v>
      </c>
      <c r="F3926" s="130" t="s">
        <v>311</v>
      </c>
      <c r="G3926" s="130" t="s">
        <v>805</v>
      </c>
      <c r="H3926" s="130" t="s">
        <v>804</v>
      </c>
    </row>
    <row r="3927" spans="1:8">
      <c r="A3927" s="130" t="s">
        <v>270</v>
      </c>
      <c r="B3927" s="130" t="s">
        <v>271</v>
      </c>
      <c r="C3927" s="130" t="s">
        <v>108</v>
      </c>
      <c r="D3927" s="130" t="s">
        <v>105</v>
      </c>
      <c r="E3927" s="130" t="s">
        <v>806</v>
      </c>
      <c r="F3927" s="130" t="s">
        <v>735</v>
      </c>
      <c r="G3927" s="130" t="s">
        <v>807</v>
      </c>
      <c r="H3927" s="130" t="s">
        <v>806</v>
      </c>
    </row>
    <row r="3928" spans="1:8">
      <c r="A3928" s="130" t="s">
        <v>109</v>
      </c>
      <c r="B3928" s="130" t="s">
        <v>110</v>
      </c>
      <c r="C3928" s="130" t="s">
        <v>108</v>
      </c>
      <c r="D3928" s="130" t="s">
        <v>105</v>
      </c>
      <c r="E3928" s="130" t="s">
        <v>808</v>
      </c>
      <c r="F3928" s="130" t="s">
        <v>579</v>
      </c>
      <c r="G3928" s="130" t="s">
        <v>268</v>
      </c>
      <c r="H3928" s="130" t="s">
        <v>808</v>
      </c>
    </row>
    <row r="3929" spans="1:8">
      <c r="A3929" s="130"/>
      <c r="B3929" s="130"/>
      <c r="C3929" s="130"/>
      <c r="D3929" s="130"/>
      <c r="E3929" s="130"/>
      <c r="F3929" s="130" t="s">
        <v>90</v>
      </c>
      <c r="G3929" s="130" t="s">
        <v>809</v>
      </c>
      <c r="H3929" s="130"/>
    </row>
    <row r="3930" spans="1:8">
      <c r="A3930" s="130"/>
      <c r="B3930" s="130"/>
      <c r="C3930" s="130"/>
      <c r="D3930" s="130"/>
      <c r="E3930" s="130"/>
      <c r="F3930" s="130" t="s">
        <v>92</v>
      </c>
      <c r="G3930" s="130" t="s">
        <v>810</v>
      </c>
      <c r="H3930" s="130"/>
    </row>
    <row r="3931" spans="1:8">
      <c r="A3931" s="130"/>
      <c r="B3931" s="130"/>
      <c r="C3931" s="130"/>
      <c r="D3931" s="130"/>
      <c r="E3931" s="130"/>
      <c r="F3931" s="130" t="s">
        <v>93</v>
      </c>
      <c r="G3931" s="130" t="s">
        <v>811</v>
      </c>
      <c r="H3931" s="130"/>
    </row>
    <row r="3933" spans="1:8">
      <c r="A3933" s="1202" t="s">
        <v>94</v>
      </c>
      <c r="B3933" s="1203"/>
      <c r="C3933" s="1203"/>
      <c r="D3933" s="1203"/>
      <c r="E3933" s="1203"/>
      <c r="F3933" s="1203"/>
      <c r="G3933" s="1203"/>
      <c r="H3933" s="1203"/>
    </row>
    <row r="3934" spans="1:8">
      <c r="A3934" s="130" t="s">
        <v>95</v>
      </c>
      <c r="B3934" s="130" t="s">
        <v>811</v>
      </c>
      <c r="C3934" s="130"/>
      <c r="D3934" s="130"/>
      <c r="E3934" s="130"/>
      <c r="F3934" s="130"/>
      <c r="G3934" s="130"/>
      <c r="H3934" s="130"/>
    </row>
    <row r="3935" spans="1:8">
      <c r="A3935" s="130" t="s">
        <v>96</v>
      </c>
      <c r="B3935" s="130" t="s">
        <v>812</v>
      </c>
      <c r="C3935" s="130"/>
      <c r="D3935" s="130"/>
      <c r="E3935" s="130"/>
      <c r="F3935" s="130"/>
      <c r="G3935" s="130"/>
      <c r="H3935" s="130"/>
    </row>
    <row r="3936" spans="1:8">
      <c r="A3936" s="130" t="s">
        <v>97</v>
      </c>
      <c r="B3936" s="130" t="s">
        <v>813</v>
      </c>
      <c r="C3936" s="130"/>
      <c r="D3936" s="130"/>
      <c r="E3936" s="130"/>
      <c r="F3936" s="130"/>
      <c r="G3936" s="130"/>
      <c r="H3936" s="130"/>
    </row>
    <row r="3937" spans="1:8">
      <c r="A3937" s="130" t="s">
        <v>98</v>
      </c>
      <c r="B3937" s="130" t="s">
        <v>814</v>
      </c>
      <c r="C3937" s="130"/>
      <c r="D3937" s="130"/>
      <c r="E3937" s="130"/>
      <c r="F3937" s="130"/>
      <c r="G3937" s="130"/>
      <c r="H3937" s="130"/>
    </row>
    <row r="3939" spans="1:8">
      <c r="A3939" s="1202" t="s">
        <v>818</v>
      </c>
      <c r="B3939" s="1203"/>
      <c r="C3939" s="1203"/>
      <c r="D3939" s="1203"/>
      <c r="E3939" s="1203"/>
      <c r="F3939" s="1203"/>
      <c r="G3939" s="1203"/>
      <c r="H3939" s="1203"/>
    </row>
    <row r="3940" spans="1:8">
      <c r="A3940" s="1202" t="s">
        <v>815</v>
      </c>
      <c r="B3940" s="1203"/>
      <c r="C3940" s="1203"/>
      <c r="D3940" s="1203"/>
      <c r="E3940" s="1203"/>
      <c r="F3940" s="1203"/>
      <c r="G3940" s="1203"/>
      <c r="H3940" s="1203"/>
    </row>
    <row r="3942" spans="1:8">
      <c r="A3942" s="1203" t="s">
        <v>504</v>
      </c>
      <c r="B3942" s="1203"/>
      <c r="C3942" s="1203"/>
      <c r="D3942" s="1203"/>
      <c r="E3942" s="1203"/>
      <c r="F3942" s="1203"/>
      <c r="G3942" s="1203"/>
      <c r="H3942" s="1203"/>
    </row>
    <row r="3944" spans="1:8">
      <c r="A3944" s="1203" t="s">
        <v>120</v>
      </c>
      <c r="B3944" s="1203"/>
      <c r="C3944" s="1203"/>
      <c r="D3944" s="1203"/>
      <c r="E3944" s="1203"/>
      <c r="F3944" s="1203"/>
      <c r="G3944" s="1203"/>
      <c r="H3944" s="1203"/>
    </row>
    <row r="3946" spans="1:8">
      <c r="A3946" s="133" t="s">
        <v>30</v>
      </c>
      <c r="B3946" s="133" t="s">
        <v>19</v>
      </c>
      <c r="C3946" s="133" t="s">
        <v>81</v>
      </c>
      <c r="D3946" s="133" t="s">
        <v>77</v>
      </c>
      <c r="E3946" s="133" t="s">
        <v>82</v>
      </c>
      <c r="F3946" s="133" t="s">
        <v>83</v>
      </c>
      <c r="G3946" s="133" t="s">
        <v>84</v>
      </c>
      <c r="H3946" s="133" t="s">
        <v>85</v>
      </c>
    </row>
    <row r="3947" spans="1:8">
      <c r="A3947" s="130" t="s">
        <v>712</v>
      </c>
      <c r="B3947" s="130" t="s">
        <v>713</v>
      </c>
      <c r="C3947" s="130" t="s">
        <v>104</v>
      </c>
      <c r="D3947" s="130" t="s">
        <v>105</v>
      </c>
      <c r="E3947" s="130" t="s">
        <v>146</v>
      </c>
      <c r="F3947" s="130" t="s">
        <v>715</v>
      </c>
      <c r="G3947" s="127">
        <f>E3947*F3947</f>
        <v>2.3849999999999998</v>
      </c>
      <c r="H3947" s="130" t="s">
        <v>146</v>
      </c>
    </row>
    <row r="3948" spans="1:8">
      <c r="A3948" s="130" t="s">
        <v>716</v>
      </c>
      <c r="B3948" s="130" t="s">
        <v>717</v>
      </c>
      <c r="C3948" s="130" t="s">
        <v>87</v>
      </c>
      <c r="D3948" s="130" t="s">
        <v>4</v>
      </c>
      <c r="E3948" s="130" t="s">
        <v>718</v>
      </c>
      <c r="F3948" s="130" t="s">
        <v>719</v>
      </c>
      <c r="G3948" s="127">
        <f t="shared" ref="G3948:G3950" si="149">E3948*F3948</f>
        <v>0.10640000000000001</v>
      </c>
      <c r="H3948" s="130" t="s">
        <v>718</v>
      </c>
    </row>
    <row r="3949" spans="1:8">
      <c r="A3949" s="130" t="s">
        <v>705</v>
      </c>
      <c r="B3949" s="130" t="s">
        <v>706</v>
      </c>
      <c r="C3949" s="130" t="s">
        <v>104</v>
      </c>
      <c r="D3949" s="130" t="s">
        <v>105</v>
      </c>
      <c r="E3949" s="130" t="s">
        <v>146</v>
      </c>
      <c r="F3949" s="130" t="s">
        <v>506</v>
      </c>
      <c r="G3949" s="127">
        <f t="shared" si="149"/>
        <v>3.2450000000000001</v>
      </c>
      <c r="H3949" s="130" t="s">
        <v>146</v>
      </c>
    </row>
    <row r="3950" spans="1:8">
      <c r="A3950" s="130" t="s">
        <v>816</v>
      </c>
      <c r="B3950" s="130" t="s">
        <v>817</v>
      </c>
      <c r="C3950" s="130" t="s">
        <v>87</v>
      </c>
      <c r="D3950" s="130" t="s">
        <v>5</v>
      </c>
      <c r="E3950" s="130" t="s">
        <v>101</v>
      </c>
      <c r="F3950" s="126">
        <v>177.45</v>
      </c>
      <c r="G3950" s="127">
        <f t="shared" si="149"/>
        <v>177.45</v>
      </c>
      <c r="H3950" s="130" t="s">
        <v>101</v>
      </c>
    </row>
    <row r="3951" spans="1:8">
      <c r="A3951" s="130"/>
      <c r="B3951" s="130"/>
      <c r="C3951" s="130"/>
      <c r="D3951" s="130"/>
      <c r="E3951" s="130"/>
      <c r="F3951" s="130"/>
      <c r="G3951" s="127"/>
      <c r="H3951" s="130"/>
    </row>
    <row r="3952" spans="1:8">
      <c r="A3952" s="130"/>
      <c r="B3952" s="130"/>
      <c r="C3952" s="130"/>
      <c r="D3952" s="130"/>
      <c r="E3952" s="130"/>
      <c r="F3952" s="130" t="s">
        <v>90</v>
      </c>
      <c r="G3952" s="127">
        <f>G3949+G3947</f>
        <v>5.63</v>
      </c>
      <c r="H3952" s="130"/>
    </row>
    <row r="3953" spans="1:8">
      <c r="A3953" s="130"/>
      <c r="B3953" s="130"/>
      <c r="C3953" s="130"/>
      <c r="D3953" s="130"/>
      <c r="E3953" s="130"/>
      <c r="F3953" s="130" t="s">
        <v>92</v>
      </c>
      <c r="G3953" s="127">
        <f>SUM(G3950+G3948)</f>
        <v>177.5564</v>
      </c>
      <c r="H3953" s="130"/>
    </row>
    <row r="3954" spans="1:8">
      <c r="A3954" s="130"/>
      <c r="B3954" s="130"/>
      <c r="C3954" s="130"/>
      <c r="D3954" s="130"/>
      <c r="E3954" s="130"/>
      <c r="F3954" s="130" t="s">
        <v>93</v>
      </c>
      <c r="G3954" s="127">
        <f>SUM(G3952:G3953)</f>
        <v>183.18639999999999</v>
      </c>
      <c r="H3954" s="130"/>
    </row>
    <row r="3956" spans="1:8">
      <c r="A3956" s="1202" t="s">
        <v>94</v>
      </c>
      <c r="B3956" s="1203"/>
      <c r="C3956" s="1203"/>
      <c r="D3956" s="1203"/>
      <c r="E3956" s="1203"/>
      <c r="F3956" s="1203"/>
      <c r="G3956" s="1203"/>
      <c r="H3956" s="1203"/>
    </row>
    <row r="3957" spans="1:8">
      <c r="A3957" s="130" t="s">
        <v>95</v>
      </c>
      <c r="B3957" s="127">
        <f>G3954</f>
        <v>183.18639999999999</v>
      </c>
      <c r="C3957" s="130"/>
      <c r="D3957" s="130"/>
      <c r="E3957" s="130"/>
      <c r="F3957" s="130"/>
      <c r="G3957" s="130"/>
      <c r="H3957" s="130"/>
    </row>
    <row r="3958" spans="1:8">
      <c r="A3958" s="130" t="s">
        <v>96</v>
      </c>
      <c r="B3958" s="127">
        <f>G3952*0.7337</f>
        <v>4.1307309999999999</v>
      </c>
      <c r="C3958" s="130"/>
      <c r="D3958" s="130"/>
      <c r="E3958" s="130"/>
      <c r="F3958" s="130"/>
      <c r="G3958" s="130"/>
      <c r="H3958" s="130"/>
    </row>
    <row r="3959" spans="1:8">
      <c r="A3959" s="130" t="s">
        <v>97</v>
      </c>
      <c r="B3959" s="127">
        <f>SUM(B3957:B3958)*0.2457</f>
        <v>46.023819086699994</v>
      </c>
      <c r="C3959" s="130"/>
      <c r="D3959" s="130"/>
      <c r="E3959" s="130"/>
      <c r="F3959" s="130"/>
      <c r="G3959" s="130"/>
      <c r="H3959" s="130"/>
    </row>
    <row r="3960" spans="1:8">
      <c r="A3960" s="130" t="s">
        <v>98</v>
      </c>
      <c r="B3960" s="127">
        <f>SUM(B3957:B3959)</f>
        <v>233.34095008669999</v>
      </c>
      <c r="C3960" s="130"/>
      <c r="D3960" s="130"/>
      <c r="E3960" s="130"/>
      <c r="F3960" s="130"/>
      <c r="G3960" s="130"/>
      <c r="H3960" s="130"/>
    </row>
    <row r="3963" spans="1:8">
      <c r="A3963" s="1202" t="s">
        <v>820</v>
      </c>
      <c r="B3963" s="1203"/>
      <c r="C3963" s="1203"/>
      <c r="D3963" s="1203"/>
      <c r="E3963" s="1203"/>
      <c r="F3963" s="1203"/>
      <c r="G3963" s="1203"/>
      <c r="H3963" s="1203"/>
    </row>
    <row r="3964" spans="1:8">
      <c r="A3964" s="1202" t="s">
        <v>821</v>
      </c>
      <c r="B3964" s="1203"/>
      <c r="C3964" s="1203"/>
      <c r="D3964" s="1203"/>
      <c r="E3964" s="1203"/>
      <c r="F3964" s="1203"/>
      <c r="G3964" s="1203"/>
      <c r="H3964" s="1203"/>
    </row>
    <row r="3966" spans="1:8">
      <c r="A3966" s="1203" t="s">
        <v>80</v>
      </c>
      <c r="B3966" s="1203"/>
      <c r="C3966" s="1203"/>
      <c r="D3966" s="1203"/>
      <c r="E3966" s="1203"/>
      <c r="F3966" s="1203"/>
      <c r="G3966" s="1203"/>
      <c r="H3966" s="1203"/>
    </row>
    <row r="3968" spans="1:8">
      <c r="A3968" s="1203" t="s">
        <v>99</v>
      </c>
      <c r="B3968" s="1203"/>
      <c r="C3968" s="1203"/>
      <c r="D3968" s="1203"/>
      <c r="E3968" s="1203"/>
      <c r="F3968" s="1203"/>
      <c r="G3968" s="1203"/>
      <c r="H3968" s="1203"/>
    </row>
    <row r="3970" spans="1:8">
      <c r="A3970" s="133" t="s">
        <v>30</v>
      </c>
      <c r="B3970" s="133" t="s">
        <v>19</v>
      </c>
      <c r="C3970" s="133" t="s">
        <v>81</v>
      </c>
      <c r="D3970" s="133" t="s">
        <v>77</v>
      </c>
      <c r="E3970" s="133" t="s">
        <v>82</v>
      </c>
      <c r="F3970" s="133" t="s">
        <v>83</v>
      </c>
      <c r="G3970" s="133" t="s">
        <v>84</v>
      </c>
      <c r="H3970" s="133" t="s">
        <v>85</v>
      </c>
    </row>
    <row r="3971" spans="1:8">
      <c r="A3971" s="130" t="s">
        <v>822</v>
      </c>
      <c r="B3971" s="130" t="s">
        <v>823</v>
      </c>
      <c r="C3971" s="130" t="s">
        <v>87</v>
      </c>
      <c r="D3971" s="130" t="s">
        <v>102</v>
      </c>
      <c r="E3971" s="130" t="s">
        <v>280</v>
      </c>
      <c r="F3971" s="130" t="s">
        <v>824</v>
      </c>
      <c r="G3971" s="130" t="s">
        <v>825</v>
      </c>
      <c r="H3971" s="130" t="s">
        <v>280</v>
      </c>
    </row>
    <row r="3972" spans="1:8">
      <c r="A3972" s="130" t="s">
        <v>826</v>
      </c>
      <c r="B3972" s="130" t="s">
        <v>827</v>
      </c>
      <c r="C3972" s="130" t="s">
        <v>87</v>
      </c>
      <c r="D3972" s="130" t="s">
        <v>102</v>
      </c>
      <c r="E3972" s="130" t="s">
        <v>476</v>
      </c>
      <c r="F3972" s="130" t="s">
        <v>828</v>
      </c>
      <c r="G3972" s="130" t="s">
        <v>829</v>
      </c>
      <c r="H3972" s="130" t="s">
        <v>476</v>
      </c>
    </row>
    <row r="3973" spans="1:8">
      <c r="A3973" s="130" t="s">
        <v>830</v>
      </c>
      <c r="B3973" s="130" t="s">
        <v>831</v>
      </c>
      <c r="C3973" s="130" t="s">
        <v>87</v>
      </c>
      <c r="D3973" s="130" t="s">
        <v>102</v>
      </c>
      <c r="E3973" s="130" t="s">
        <v>832</v>
      </c>
      <c r="F3973" s="130" t="s">
        <v>833</v>
      </c>
      <c r="G3973" s="130" t="s">
        <v>834</v>
      </c>
      <c r="H3973" s="130" t="s">
        <v>832</v>
      </c>
    </row>
    <row r="3974" spans="1:8">
      <c r="A3974" s="130" t="s">
        <v>835</v>
      </c>
      <c r="B3974" s="130" t="s">
        <v>836</v>
      </c>
      <c r="C3974" s="130" t="s">
        <v>87</v>
      </c>
      <c r="D3974" s="130" t="s">
        <v>102</v>
      </c>
      <c r="E3974" s="130" t="s">
        <v>837</v>
      </c>
      <c r="F3974" s="130" t="s">
        <v>833</v>
      </c>
      <c r="G3974" s="130" t="s">
        <v>838</v>
      </c>
      <c r="H3974" s="130" t="s">
        <v>837</v>
      </c>
    </row>
    <row r="3975" spans="1:8">
      <c r="A3975" s="130" t="s">
        <v>839</v>
      </c>
      <c r="B3975" s="130" t="s">
        <v>840</v>
      </c>
      <c r="C3975" s="130" t="s">
        <v>87</v>
      </c>
      <c r="D3975" s="130" t="s">
        <v>841</v>
      </c>
      <c r="E3975" s="130" t="s">
        <v>269</v>
      </c>
      <c r="F3975" s="130" t="s">
        <v>842</v>
      </c>
      <c r="G3975" s="130" t="s">
        <v>255</v>
      </c>
      <c r="H3975" s="130" t="s">
        <v>269</v>
      </c>
    </row>
    <row r="3976" spans="1:8">
      <c r="A3976" s="130" t="s">
        <v>843</v>
      </c>
      <c r="B3976" s="130" t="s">
        <v>844</v>
      </c>
      <c r="C3976" s="130" t="s">
        <v>87</v>
      </c>
      <c r="D3976" s="130" t="s">
        <v>841</v>
      </c>
      <c r="E3976" s="130" t="s">
        <v>845</v>
      </c>
      <c r="F3976" s="130" t="s">
        <v>846</v>
      </c>
      <c r="G3976" s="130" t="s">
        <v>847</v>
      </c>
      <c r="H3976" s="130" t="s">
        <v>845</v>
      </c>
    </row>
    <row r="3977" spans="1:8">
      <c r="A3977" s="130" t="s">
        <v>848</v>
      </c>
      <c r="B3977" s="130" t="s">
        <v>849</v>
      </c>
      <c r="C3977" s="130" t="s">
        <v>87</v>
      </c>
      <c r="D3977" s="130" t="s">
        <v>102</v>
      </c>
      <c r="E3977" s="130" t="s">
        <v>850</v>
      </c>
      <c r="F3977" s="130" t="s">
        <v>851</v>
      </c>
      <c r="G3977" s="130" t="s">
        <v>852</v>
      </c>
      <c r="H3977" s="130" t="s">
        <v>850</v>
      </c>
    </row>
    <row r="3978" spans="1:8">
      <c r="A3978" s="130" t="s">
        <v>853</v>
      </c>
      <c r="B3978" s="130" t="s">
        <v>854</v>
      </c>
      <c r="C3978" s="130" t="s">
        <v>87</v>
      </c>
      <c r="D3978" s="130" t="s">
        <v>841</v>
      </c>
      <c r="E3978" s="130" t="s">
        <v>855</v>
      </c>
      <c r="F3978" s="130" t="s">
        <v>856</v>
      </c>
      <c r="G3978" s="130" t="s">
        <v>274</v>
      </c>
      <c r="H3978" s="130" t="s">
        <v>855</v>
      </c>
    </row>
    <row r="3979" spans="1:8">
      <c r="A3979" s="130" t="s">
        <v>857</v>
      </c>
      <c r="B3979" s="130" t="s">
        <v>858</v>
      </c>
      <c r="C3979" s="130" t="s">
        <v>108</v>
      </c>
      <c r="D3979" s="130" t="s">
        <v>105</v>
      </c>
      <c r="E3979" s="130" t="s">
        <v>859</v>
      </c>
      <c r="F3979" s="130" t="s">
        <v>860</v>
      </c>
      <c r="G3979" s="130" t="s">
        <v>861</v>
      </c>
      <c r="H3979" s="130" t="s">
        <v>859</v>
      </c>
    </row>
    <row r="3980" spans="1:8">
      <c r="A3980" s="130" t="s">
        <v>109</v>
      </c>
      <c r="B3980" s="130" t="s">
        <v>110</v>
      </c>
      <c r="C3980" s="130" t="s">
        <v>108</v>
      </c>
      <c r="D3980" s="130" t="s">
        <v>105</v>
      </c>
      <c r="E3980" s="130" t="s">
        <v>862</v>
      </c>
      <c r="F3980" s="130" t="s">
        <v>579</v>
      </c>
      <c r="G3980" s="130" t="s">
        <v>863</v>
      </c>
      <c r="H3980" s="130" t="s">
        <v>862</v>
      </c>
    </row>
    <row r="3981" spans="1:8">
      <c r="A3981" s="130" t="s">
        <v>864</v>
      </c>
      <c r="B3981" s="130" t="s">
        <v>865</v>
      </c>
      <c r="C3981" s="130" t="s">
        <v>108</v>
      </c>
      <c r="D3981" s="130" t="s">
        <v>866</v>
      </c>
      <c r="E3981" s="130" t="s">
        <v>867</v>
      </c>
      <c r="F3981" s="130" t="s">
        <v>868</v>
      </c>
      <c r="G3981" s="130" t="s">
        <v>297</v>
      </c>
      <c r="H3981" s="130" t="s">
        <v>867</v>
      </c>
    </row>
    <row r="3982" spans="1:8">
      <c r="A3982" s="130" t="s">
        <v>869</v>
      </c>
      <c r="B3982" s="130" t="s">
        <v>870</v>
      </c>
      <c r="C3982" s="130" t="s">
        <v>108</v>
      </c>
      <c r="D3982" s="130" t="s">
        <v>871</v>
      </c>
      <c r="E3982" s="130" t="s">
        <v>872</v>
      </c>
      <c r="F3982" s="130" t="s">
        <v>873</v>
      </c>
      <c r="G3982" s="130" t="s">
        <v>168</v>
      </c>
      <c r="H3982" s="130" t="s">
        <v>872</v>
      </c>
    </row>
    <row r="3983" spans="1:8">
      <c r="A3983" s="130"/>
      <c r="B3983" s="130"/>
      <c r="C3983" s="130"/>
      <c r="D3983" s="130"/>
      <c r="E3983" s="130"/>
      <c r="F3983" s="130" t="s">
        <v>90</v>
      </c>
      <c r="G3983" s="130" t="s">
        <v>874</v>
      </c>
      <c r="H3983" s="130"/>
    </row>
    <row r="3984" spans="1:8">
      <c r="A3984" s="130"/>
      <c r="B3984" s="130"/>
      <c r="C3984" s="130"/>
      <c r="D3984" s="130"/>
      <c r="E3984" s="130"/>
      <c r="F3984" s="130" t="s">
        <v>92</v>
      </c>
      <c r="G3984" s="130" t="s">
        <v>875</v>
      </c>
      <c r="H3984" s="130"/>
    </row>
    <row r="3985" spans="1:8">
      <c r="A3985" s="130"/>
      <c r="B3985" s="130"/>
      <c r="C3985" s="130"/>
      <c r="D3985" s="130"/>
      <c r="E3985" s="130"/>
      <c r="F3985" s="130" t="s">
        <v>93</v>
      </c>
      <c r="G3985" s="130" t="s">
        <v>876</v>
      </c>
      <c r="H3985" s="130"/>
    </row>
    <row r="3987" spans="1:8">
      <c r="A3987" s="1202" t="s">
        <v>94</v>
      </c>
      <c r="B3987" s="1203"/>
      <c r="C3987" s="1203"/>
      <c r="D3987" s="1203"/>
      <c r="E3987" s="1203"/>
      <c r="F3987" s="1203"/>
      <c r="G3987" s="1203"/>
      <c r="H3987" s="1203"/>
    </row>
    <row r="3988" spans="1:8">
      <c r="A3988" s="130" t="s">
        <v>95</v>
      </c>
      <c r="B3988" s="130" t="s">
        <v>876</v>
      </c>
      <c r="C3988" s="130"/>
      <c r="D3988" s="130"/>
      <c r="E3988" s="130"/>
      <c r="F3988" s="130"/>
      <c r="G3988" s="130"/>
      <c r="H3988" s="130"/>
    </row>
    <row r="3989" spans="1:8">
      <c r="A3989" s="130" t="s">
        <v>96</v>
      </c>
      <c r="B3989" s="130" t="s">
        <v>181</v>
      </c>
      <c r="C3989" s="130"/>
      <c r="D3989" s="130"/>
      <c r="E3989" s="130"/>
      <c r="F3989" s="130"/>
      <c r="G3989" s="130"/>
      <c r="H3989" s="130"/>
    </row>
    <row r="3990" spans="1:8">
      <c r="A3990" s="130" t="s">
        <v>97</v>
      </c>
      <c r="B3990" s="130" t="s">
        <v>254</v>
      </c>
      <c r="C3990" s="130"/>
      <c r="D3990" s="130"/>
      <c r="E3990" s="130"/>
      <c r="F3990" s="130"/>
      <c r="G3990" s="130"/>
      <c r="H3990" s="130"/>
    </row>
    <row r="3991" spans="1:8">
      <c r="A3991" s="130" t="s">
        <v>98</v>
      </c>
      <c r="B3991" s="130" t="s">
        <v>877</v>
      </c>
      <c r="C3991" s="130"/>
      <c r="D3991" s="130"/>
      <c r="E3991" s="130"/>
      <c r="F3991" s="130"/>
      <c r="G3991" s="130"/>
      <c r="H3991" s="130"/>
    </row>
    <row r="3993" spans="1:8">
      <c r="A3993" s="1202" t="s">
        <v>878</v>
      </c>
      <c r="B3993" s="1203"/>
      <c r="C3993" s="1203"/>
      <c r="D3993" s="1203"/>
      <c r="E3993" s="1203"/>
      <c r="F3993" s="1203"/>
      <c r="G3993" s="1203"/>
      <c r="H3993" s="1203"/>
    </row>
    <row r="3994" spans="1:8">
      <c r="A3994" s="1202" t="s">
        <v>879</v>
      </c>
      <c r="B3994" s="1203"/>
      <c r="C3994" s="1203"/>
      <c r="D3994" s="1203"/>
      <c r="E3994" s="1203"/>
      <c r="F3994" s="1203"/>
      <c r="G3994" s="1203"/>
      <c r="H3994" s="1203"/>
    </row>
    <row r="3996" spans="1:8">
      <c r="A3996" s="1203" t="s">
        <v>80</v>
      </c>
      <c r="B3996" s="1203"/>
      <c r="C3996" s="1203"/>
      <c r="D3996" s="1203"/>
      <c r="E3996" s="1203"/>
      <c r="F3996" s="1203"/>
      <c r="G3996" s="1203"/>
      <c r="H3996" s="1203"/>
    </row>
    <row r="3998" spans="1:8">
      <c r="A3998" s="1203" t="s">
        <v>880</v>
      </c>
      <c r="B3998" s="1203"/>
      <c r="C3998" s="1203"/>
      <c r="D3998" s="1203"/>
      <c r="E3998" s="1203"/>
      <c r="F3998" s="1203"/>
      <c r="G3998" s="1203"/>
      <c r="H3998" s="1203"/>
    </row>
    <row r="4000" spans="1:8">
      <c r="A4000" s="133" t="s">
        <v>30</v>
      </c>
      <c r="B4000" s="133" t="s">
        <v>19</v>
      </c>
      <c r="C4000" s="133" t="s">
        <v>81</v>
      </c>
      <c r="D4000" s="133" t="s">
        <v>77</v>
      </c>
      <c r="E4000" s="133" t="s">
        <v>82</v>
      </c>
      <c r="F4000" s="133" t="s">
        <v>83</v>
      </c>
      <c r="G4000" s="133" t="s">
        <v>84</v>
      </c>
      <c r="H4000" s="133" t="s">
        <v>85</v>
      </c>
    </row>
    <row r="4001" spans="1:8">
      <c r="A4001" s="130" t="s">
        <v>881</v>
      </c>
      <c r="B4001" s="130" t="s">
        <v>882</v>
      </c>
      <c r="C4001" s="130" t="s">
        <v>87</v>
      </c>
      <c r="D4001" s="130" t="s">
        <v>102</v>
      </c>
      <c r="E4001" s="130" t="s">
        <v>883</v>
      </c>
      <c r="F4001" s="130" t="s">
        <v>884</v>
      </c>
      <c r="G4001" s="130" t="s">
        <v>885</v>
      </c>
      <c r="H4001" s="130" t="s">
        <v>883</v>
      </c>
    </row>
    <row r="4002" spans="1:8">
      <c r="A4002" s="130" t="s">
        <v>559</v>
      </c>
      <c r="B4002" s="130" t="s">
        <v>560</v>
      </c>
      <c r="C4002" s="130" t="s">
        <v>87</v>
      </c>
      <c r="D4002" s="130" t="s">
        <v>561</v>
      </c>
      <c r="E4002" s="130" t="s">
        <v>886</v>
      </c>
      <c r="F4002" s="130" t="s">
        <v>563</v>
      </c>
      <c r="G4002" s="130" t="s">
        <v>887</v>
      </c>
      <c r="H4002" s="130" t="s">
        <v>886</v>
      </c>
    </row>
    <row r="4003" spans="1:8">
      <c r="A4003" s="130" t="s">
        <v>888</v>
      </c>
      <c r="B4003" s="130" t="s">
        <v>889</v>
      </c>
      <c r="C4003" s="130" t="s">
        <v>87</v>
      </c>
      <c r="D4003" s="130" t="s">
        <v>4</v>
      </c>
      <c r="E4003" s="130" t="s">
        <v>428</v>
      </c>
      <c r="F4003" s="130" t="s">
        <v>890</v>
      </c>
      <c r="G4003" s="130" t="s">
        <v>891</v>
      </c>
      <c r="H4003" s="130" t="s">
        <v>428</v>
      </c>
    </row>
    <row r="4004" spans="1:8">
      <c r="A4004" s="130" t="s">
        <v>892</v>
      </c>
      <c r="B4004" s="130" t="s">
        <v>893</v>
      </c>
      <c r="C4004" s="130" t="s">
        <v>87</v>
      </c>
      <c r="D4004" s="130" t="s">
        <v>102</v>
      </c>
      <c r="E4004" s="130" t="s">
        <v>749</v>
      </c>
      <c r="F4004" s="130" t="s">
        <v>894</v>
      </c>
      <c r="G4004" s="130" t="s">
        <v>269</v>
      </c>
      <c r="H4004" s="130" t="s">
        <v>749</v>
      </c>
    </row>
    <row r="4005" spans="1:8">
      <c r="A4005" s="130" t="s">
        <v>895</v>
      </c>
      <c r="B4005" s="130" t="s">
        <v>896</v>
      </c>
      <c r="C4005" s="130" t="s">
        <v>87</v>
      </c>
      <c r="D4005" s="130" t="s">
        <v>102</v>
      </c>
      <c r="E4005" s="130" t="s">
        <v>897</v>
      </c>
      <c r="F4005" s="130" t="s">
        <v>898</v>
      </c>
      <c r="G4005" s="130" t="s">
        <v>179</v>
      </c>
      <c r="H4005" s="130" t="s">
        <v>897</v>
      </c>
    </row>
    <row r="4006" spans="1:8">
      <c r="A4006" s="130" t="s">
        <v>109</v>
      </c>
      <c r="B4006" s="130" t="s">
        <v>110</v>
      </c>
      <c r="C4006" s="130" t="s">
        <v>108</v>
      </c>
      <c r="D4006" s="130" t="s">
        <v>105</v>
      </c>
      <c r="E4006" s="130" t="s">
        <v>899</v>
      </c>
      <c r="F4006" s="130" t="s">
        <v>579</v>
      </c>
      <c r="G4006" s="130" t="s">
        <v>900</v>
      </c>
      <c r="H4006" s="130" t="s">
        <v>899</v>
      </c>
    </row>
    <row r="4007" spans="1:8">
      <c r="A4007" s="130" t="s">
        <v>901</v>
      </c>
      <c r="B4007" s="130" t="s">
        <v>902</v>
      </c>
      <c r="C4007" s="130" t="s">
        <v>108</v>
      </c>
      <c r="D4007" s="130" t="s">
        <v>105</v>
      </c>
      <c r="E4007" s="130" t="s">
        <v>903</v>
      </c>
      <c r="F4007" s="130" t="s">
        <v>904</v>
      </c>
      <c r="G4007" s="130" t="s">
        <v>164</v>
      </c>
      <c r="H4007" s="130" t="s">
        <v>903</v>
      </c>
    </row>
    <row r="4008" spans="1:8">
      <c r="A4008" s="130" t="s">
        <v>864</v>
      </c>
      <c r="B4008" s="130" t="s">
        <v>865</v>
      </c>
      <c r="C4008" s="130" t="s">
        <v>108</v>
      </c>
      <c r="D4008" s="130" t="s">
        <v>866</v>
      </c>
      <c r="E4008" s="130" t="s">
        <v>905</v>
      </c>
      <c r="F4008" s="130" t="s">
        <v>868</v>
      </c>
      <c r="G4008" s="130" t="s">
        <v>734</v>
      </c>
      <c r="H4008" s="130" t="s">
        <v>905</v>
      </c>
    </row>
    <row r="4009" spans="1:8">
      <c r="A4009" s="130" t="s">
        <v>869</v>
      </c>
      <c r="B4009" s="130" t="s">
        <v>870</v>
      </c>
      <c r="C4009" s="130" t="s">
        <v>108</v>
      </c>
      <c r="D4009" s="130" t="s">
        <v>871</v>
      </c>
      <c r="E4009" s="130" t="s">
        <v>906</v>
      </c>
      <c r="F4009" s="130" t="s">
        <v>873</v>
      </c>
      <c r="G4009" s="130" t="s">
        <v>907</v>
      </c>
      <c r="H4009" s="130" t="s">
        <v>906</v>
      </c>
    </row>
    <row r="4010" spans="1:8">
      <c r="A4010" s="130"/>
      <c r="B4010" s="130"/>
      <c r="C4010" s="130"/>
      <c r="D4010" s="130"/>
      <c r="E4010" s="130"/>
      <c r="F4010" s="130" t="s">
        <v>90</v>
      </c>
      <c r="G4010" s="130" t="s">
        <v>908</v>
      </c>
      <c r="H4010" s="130"/>
    </row>
    <row r="4011" spans="1:8">
      <c r="A4011" s="130"/>
      <c r="B4011" s="130"/>
      <c r="C4011" s="130"/>
      <c r="D4011" s="130"/>
      <c r="E4011" s="130"/>
      <c r="F4011" s="130" t="s">
        <v>92</v>
      </c>
      <c r="G4011" s="130" t="s">
        <v>909</v>
      </c>
      <c r="H4011" s="130"/>
    </row>
    <row r="4012" spans="1:8">
      <c r="A4012" s="130"/>
      <c r="B4012" s="130"/>
      <c r="C4012" s="130"/>
      <c r="D4012" s="130"/>
      <c r="E4012" s="130"/>
      <c r="F4012" s="130" t="s">
        <v>93</v>
      </c>
      <c r="G4012" s="130" t="s">
        <v>910</v>
      </c>
      <c r="H4012" s="130"/>
    </row>
    <row r="4014" spans="1:8">
      <c r="A4014" s="1202" t="s">
        <v>94</v>
      </c>
      <c r="B4014" s="1203"/>
      <c r="C4014" s="1203"/>
      <c r="D4014" s="1203"/>
      <c r="E4014" s="1203"/>
      <c r="F4014" s="1203"/>
      <c r="G4014" s="1203"/>
      <c r="H4014" s="1203"/>
    </row>
    <row r="4015" spans="1:8">
      <c r="A4015" s="130" t="s">
        <v>95</v>
      </c>
      <c r="B4015" s="130" t="s">
        <v>910</v>
      </c>
      <c r="C4015" s="130"/>
      <c r="D4015" s="130"/>
      <c r="E4015" s="130"/>
      <c r="F4015" s="130"/>
      <c r="G4015" s="130"/>
      <c r="H4015" s="130"/>
    </row>
    <row r="4016" spans="1:8">
      <c r="A4016" s="130" t="s">
        <v>96</v>
      </c>
      <c r="B4016" s="130" t="s">
        <v>863</v>
      </c>
      <c r="C4016" s="130"/>
      <c r="D4016" s="130"/>
      <c r="E4016" s="130"/>
      <c r="F4016" s="130"/>
      <c r="G4016" s="130"/>
      <c r="H4016" s="130"/>
    </row>
    <row r="4017" spans="1:8">
      <c r="A4017" s="130" t="s">
        <v>97</v>
      </c>
      <c r="B4017" s="130" t="s">
        <v>911</v>
      </c>
      <c r="C4017" s="130"/>
      <c r="D4017" s="130"/>
      <c r="E4017" s="130"/>
      <c r="F4017" s="130"/>
      <c r="G4017" s="130"/>
      <c r="H4017" s="130"/>
    </row>
    <row r="4018" spans="1:8">
      <c r="A4018" s="130" t="s">
        <v>98</v>
      </c>
      <c r="B4018" s="130" t="s">
        <v>912</v>
      </c>
      <c r="C4018" s="130"/>
      <c r="D4018" s="130"/>
      <c r="E4018" s="130"/>
      <c r="F4018" s="130"/>
      <c r="G4018" s="130"/>
      <c r="H4018" s="130"/>
    </row>
    <row r="4020" spans="1:8">
      <c r="A4020" s="1202" t="s">
        <v>913</v>
      </c>
      <c r="B4020" s="1203"/>
      <c r="C4020" s="1203"/>
      <c r="D4020" s="1203"/>
      <c r="E4020" s="1203"/>
      <c r="F4020" s="1203"/>
      <c r="G4020" s="1203"/>
      <c r="H4020" s="1203"/>
    </row>
    <row r="4021" spans="1:8">
      <c r="A4021" s="1202" t="s">
        <v>914</v>
      </c>
      <c r="B4021" s="1203"/>
      <c r="C4021" s="1203"/>
      <c r="D4021" s="1203"/>
      <c r="E4021" s="1203"/>
      <c r="F4021" s="1203"/>
      <c r="G4021" s="1203"/>
      <c r="H4021" s="1203"/>
    </row>
    <row r="4023" spans="1:8">
      <c r="A4023" s="1203" t="s">
        <v>80</v>
      </c>
      <c r="B4023" s="1203"/>
      <c r="C4023" s="1203"/>
      <c r="D4023" s="1203"/>
      <c r="E4023" s="1203"/>
      <c r="F4023" s="1203"/>
      <c r="G4023" s="1203"/>
      <c r="H4023" s="1203"/>
    </row>
    <row r="4025" spans="1:8">
      <c r="A4025" s="1203" t="s">
        <v>880</v>
      </c>
      <c r="B4025" s="1203"/>
      <c r="C4025" s="1203"/>
      <c r="D4025" s="1203"/>
      <c r="E4025" s="1203"/>
      <c r="F4025" s="1203"/>
      <c r="G4025" s="1203"/>
      <c r="H4025" s="1203"/>
    </row>
    <row r="4027" spans="1:8">
      <c r="A4027" s="133" t="s">
        <v>30</v>
      </c>
      <c r="B4027" s="133" t="s">
        <v>19</v>
      </c>
      <c r="C4027" s="133" t="s">
        <v>81</v>
      </c>
      <c r="D4027" s="133" t="s">
        <v>77</v>
      </c>
      <c r="E4027" s="133" t="s">
        <v>82</v>
      </c>
      <c r="F4027" s="133" t="s">
        <v>83</v>
      </c>
      <c r="G4027" s="133" t="s">
        <v>84</v>
      </c>
      <c r="H4027" s="133" t="s">
        <v>85</v>
      </c>
    </row>
    <row r="4028" spans="1:8">
      <c r="A4028" s="130" t="s">
        <v>915</v>
      </c>
      <c r="B4028" s="130" t="s">
        <v>916</v>
      </c>
      <c r="C4028" s="130" t="s">
        <v>87</v>
      </c>
      <c r="D4028" s="130" t="s">
        <v>5</v>
      </c>
      <c r="E4028" s="130" t="s">
        <v>285</v>
      </c>
      <c r="F4028" s="130" t="s">
        <v>917</v>
      </c>
      <c r="G4028" s="130" t="s">
        <v>918</v>
      </c>
      <c r="H4028" s="130" t="s">
        <v>285</v>
      </c>
    </row>
    <row r="4029" spans="1:8">
      <c r="A4029" s="130" t="s">
        <v>919</v>
      </c>
      <c r="B4029" s="130" t="s">
        <v>920</v>
      </c>
      <c r="C4029" s="130" t="s">
        <v>108</v>
      </c>
      <c r="D4029" s="130" t="s">
        <v>112</v>
      </c>
      <c r="E4029" s="130" t="s">
        <v>921</v>
      </c>
      <c r="F4029" s="130" t="s">
        <v>922</v>
      </c>
      <c r="G4029" s="130" t="s">
        <v>371</v>
      </c>
      <c r="H4029" s="130" t="s">
        <v>921</v>
      </c>
    </row>
    <row r="4030" spans="1:8">
      <c r="A4030" s="130" t="s">
        <v>109</v>
      </c>
      <c r="B4030" s="130" t="s">
        <v>110</v>
      </c>
      <c r="C4030" s="130" t="s">
        <v>108</v>
      </c>
      <c r="D4030" s="130" t="s">
        <v>105</v>
      </c>
      <c r="E4030" s="130" t="s">
        <v>923</v>
      </c>
      <c r="F4030" s="130" t="s">
        <v>579</v>
      </c>
      <c r="G4030" s="130" t="s">
        <v>924</v>
      </c>
      <c r="H4030" s="130" t="s">
        <v>923</v>
      </c>
    </row>
    <row r="4031" spans="1:8">
      <c r="A4031" s="130" t="s">
        <v>901</v>
      </c>
      <c r="B4031" s="130" t="s">
        <v>902</v>
      </c>
      <c r="C4031" s="130" t="s">
        <v>108</v>
      </c>
      <c r="D4031" s="130" t="s">
        <v>105</v>
      </c>
      <c r="E4031" s="130" t="s">
        <v>925</v>
      </c>
      <c r="F4031" s="130" t="s">
        <v>904</v>
      </c>
      <c r="G4031" s="130" t="s">
        <v>660</v>
      </c>
      <c r="H4031" s="130" t="s">
        <v>925</v>
      </c>
    </row>
    <row r="4032" spans="1:8">
      <c r="A4032" s="130" t="s">
        <v>864</v>
      </c>
      <c r="B4032" s="130" t="s">
        <v>865</v>
      </c>
      <c r="C4032" s="130" t="s">
        <v>108</v>
      </c>
      <c r="D4032" s="130" t="s">
        <v>866</v>
      </c>
      <c r="E4032" s="130" t="s">
        <v>926</v>
      </c>
      <c r="F4032" s="130" t="s">
        <v>868</v>
      </c>
      <c r="G4032" s="130" t="s">
        <v>127</v>
      </c>
      <c r="H4032" s="130" t="s">
        <v>926</v>
      </c>
    </row>
    <row r="4033" spans="1:8">
      <c r="A4033" s="130" t="s">
        <v>869</v>
      </c>
      <c r="B4033" s="130" t="s">
        <v>870</v>
      </c>
      <c r="C4033" s="130" t="s">
        <v>108</v>
      </c>
      <c r="D4033" s="130" t="s">
        <v>871</v>
      </c>
      <c r="E4033" s="130" t="s">
        <v>927</v>
      </c>
      <c r="F4033" s="130" t="s">
        <v>873</v>
      </c>
      <c r="G4033" s="130" t="s">
        <v>138</v>
      </c>
      <c r="H4033" s="130" t="s">
        <v>927</v>
      </c>
    </row>
    <row r="4034" spans="1:8">
      <c r="A4034" s="130"/>
      <c r="B4034" s="130"/>
      <c r="C4034" s="130"/>
      <c r="D4034" s="130"/>
      <c r="E4034" s="130"/>
      <c r="F4034" s="130" t="s">
        <v>90</v>
      </c>
      <c r="G4034" s="130" t="s">
        <v>928</v>
      </c>
      <c r="H4034" s="130"/>
    </row>
    <row r="4035" spans="1:8">
      <c r="A4035" s="130"/>
      <c r="B4035" s="130"/>
      <c r="C4035" s="130"/>
      <c r="D4035" s="130"/>
      <c r="E4035" s="130"/>
      <c r="F4035" s="130" t="s">
        <v>92</v>
      </c>
      <c r="G4035" s="130" t="s">
        <v>929</v>
      </c>
      <c r="H4035" s="130"/>
    </row>
    <row r="4036" spans="1:8">
      <c r="A4036" s="130"/>
      <c r="B4036" s="130"/>
      <c r="C4036" s="130"/>
      <c r="D4036" s="130"/>
      <c r="E4036" s="130"/>
      <c r="F4036" s="130" t="s">
        <v>93</v>
      </c>
      <c r="G4036" s="130" t="s">
        <v>930</v>
      </c>
      <c r="H4036" s="130"/>
    </row>
    <row r="4038" spans="1:8">
      <c r="A4038" s="1202" t="s">
        <v>94</v>
      </c>
      <c r="B4038" s="1203"/>
      <c r="C4038" s="1203"/>
      <c r="D4038" s="1203"/>
      <c r="E4038" s="1203"/>
      <c r="F4038" s="1203"/>
      <c r="G4038" s="1203"/>
      <c r="H4038" s="1203"/>
    </row>
    <row r="4039" spans="1:8">
      <c r="A4039" s="130" t="s">
        <v>95</v>
      </c>
      <c r="B4039" s="130" t="s">
        <v>930</v>
      </c>
      <c r="C4039" s="130"/>
      <c r="D4039" s="130"/>
      <c r="E4039" s="130"/>
      <c r="F4039" s="130"/>
      <c r="G4039" s="130"/>
      <c r="H4039" s="130"/>
    </row>
    <row r="4040" spans="1:8">
      <c r="A4040" s="130" t="s">
        <v>96</v>
      </c>
      <c r="B4040" s="130" t="s">
        <v>498</v>
      </c>
      <c r="C4040" s="130"/>
      <c r="D4040" s="130"/>
      <c r="E4040" s="130"/>
      <c r="F4040" s="130"/>
      <c r="G4040" s="130"/>
      <c r="H4040" s="130"/>
    </row>
    <row r="4041" spans="1:8">
      <c r="A4041" s="130" t="s">
        <v>97</v>
      </c>
      <c r="B4041" s="130" t="s">
        <v>931</v>
      </c>
      <c r="C4041" s="130"/>
      <c r="D4041" s="130"/>
      <c r="E4041" s="130"/>
      <c r="F4041" s="130"/>
      <c r="G4041" s="130"/>
      <c r="H4041" s="130"/>
    </row>
    <row r="4042" spans="1:8">
      <c r="A4042" s="130" t="s">
        <v>98</v>
      </c>
      <c r="B4042" s="130" t="s">
        <v>932</v>
      </c>
      <c r="C4042" s="130"/>
      <c r="D4042" s="130"/>
      <c r="E4042" s="130"/>
      <c r="F4042" s="130"/>
      <c r="G4042" s="130"/>
      <c r="H4042" s="130"/>
    </row>
    <row r="4043" spans="1:8">
      <c r="A4043" s="130"/>
      <c r="B4043" s="130"/>
      <c r="C4043" s="130"/>
      <c r="D4043" s="130"/>
      <c r="E4043" s="130"/>
      <c r="F4043" s="130"/>
      <c r="G4043" s="130"/>
      <c r="H4043" s="130"/>
    </row>
    <row r="4044" spans="1:8">
      <c r="A4044" s="1202" t="s">
        <v>933</v>
      </c>
      <c r="B4044" s="1203"/>
      <c r="C4044" s="1203"/>
      <c r="D4044" s="1203"/>
      <c r="E4044" s="1203"/>
      <c r="F4044" s="1203"/>
      <c r="G4044" s="1203"/>
      <c r="H4044" s="1203"/>
    </row>
    <row r="4045" spans="1:8">
      <c r="A4045" s="1202" t="s">
        <v>934</v>
      </c>
      <c r="B4045" s="1203"/>
      <c r="C4045" s="1203"/>
      <c r="D4045" s="1203"/>
      <c r="E4045" s="1203"/>
      <c r="F4045" s="1203"/>
      <c r="G4045" s="1203"/>
      <c r="H4045" s="1203"/>
    </row>
    <row r="4047" spans="1:8">
      <c r="A4047" s="1203" t="s">
        <v>80</v>
      </c>
      <c r="B4047" s="1203"/>
      <c r="C4047" s="1203"/>
      <c r="D4047" s="1203"/>
      <c r="E4047" s="1203"/>
      <c r="F4047" s="1203"/>
      <c r="G4047" s="1203"/>
      <c r="H4047" s="1203"/>
    </row>
    <row r="4049" spans="1:8">
      <c r="A4049" s="1203" t="s">
        <v>880</v>
      </c>
      <c r="B4049" s="1203"/>
      <c r="C4049" s="1203"/>
      <c r="D4049" s="1203"/>
      <c r="E4049" s="1203"/>
      <c r="F4049" s="1203"/>
      <c r="G4049" s="1203"/>
      <c r="H4049" s="1203"/>
    </row>
    <row r="4051" spans="1:8">
      <c r="A4051" s="133" t="s">
        <v>30</v>
      </c>
      <c r="B4051" s="133" t="s">
        <v>19</v>
      </c>
      <c r="C4051" s="133" t="s">
        <v>81</v>
      </c>
      <c r="D4051" s="133" t="s">
        <v>77</v>
      </c>
      <c r="E4051" s="133" t="s">
        <v>82</v>
      </c>
      <c r="F4051" s="133" t="s">
        <v>83</v>
      </c>
      <c r="G4051" s="133" t="s">
        <v>84</v>
      </c>
      <c r="H4051" s="133" t="s">
        <v>85</v>
      </c>
    </row>
    <row r="4052" spans="1:8">
      <c r="A4052" s="130" t="s">
        <v>935</v>
      </c>
      <c r="B4052" s="130" t="s">
        <v>936</v>
      </c>
      <c r="C4052" s="130" t="s">
        <v>87</v>
      </c>
      <c r="D4052" s="130" t="s">
        <v>4</v>
      </c>
      <c r="E4052" s="130" t="s">
        <v>101</v>
      </c>
      <c r="F4052" s="130" t="s">
        <v>937</v>
      </c>
      <c r="G4052" s="130" t="s">
        <v>937</v>
      </c>
      <c r="H4052" s="130" t="s">
        <v>101</v>
      </c>
    </row>
    <row r="4053" spans="1:8">
      <c r="A4053" s="130" t="s">
        <v>938</v>
      </c>
      <c r="B4053" s="130" t="s">
        <v>939</v>
      </c>
      <c r="C4053" s="130" t="s">
        <v>87</v>
      </c>
      <c r="D4053" s="130" t="s">
        <v>102</v>
      </c>
      <c r="E4053" s="130" t="s">
        <v>179</v>
      </c>
      <c r="F4053" s="130" t="s">
        <v>312</v>
      </c>
      <c r="G4053" s="130" t="s">
        <v>940</v>
      </c>
      <c r="H4053" s="130" t="s">
        <v>179</v>
      </c>
    </row>
    <row r="4054" spans="1:8">
      <c r="A4054" s="130" t="s">
        <v>941</v>
      </c>
      <c r="B4054" s="130" t="s">
        <v>942</v>
      </c>
      <c r="C4054" s="130" t="s">
        <v>108</v>
      </c>
      <c r="D4054" s="130" t="s">
        <v>105</v>
      </c>
      <c r="E4054" s="130" t="s">
        <v>475</v>
      </c>
      <c r="F4054" s="130" t="s">
        <v>943</v>
      </c>
      <c r="G4054" s="130" t="s">
        <v>944</v>
      </c>
      <c r="H4054" s="130" t="s">
        <v>475</v>
      </c>
    </row>
    <row r="4055" spans="1:8">
      <c r="A4055" s="130" t="s">
        <v>139</v>
      </c>
      <c r="B4055" s="130" t="s">
        <v>134</v>
      </c>
      <c r="C4055" s="130" t="s">
        <v>108</v>
      </c>
      <c r="D4055" s="130" t="s">
        <v>105</v>
      </c>
      <c r="E4055" s="130" t="s">
        <v>808</v>
      </c>
      <c r="F4055" s="130" t="s">
        <v>945</v>
      </c>
      <c r="G4055" s="130" t="s">
        <v>946</v>
      </c>
      <c r="H4055" s="130" t="s">
        <v>808</v>
      </c>
    </row>
    <row r="4056" spans="1:8">
      <c r="A4056" s="130"/>
      <c r="B4056" s="130"/>
      <c r="C4056" s="130"/>
      <c r="D4056" s="130"/>
      <c r="E4056" s="130"/>
      <c r="F4056" s="130" t="s">
        <v>90</v>
      </c>
      <c r="G4056" s="130" t="s">
        <v>900</v>
      </c>
      <c r="H4056" s="130"/>
    </row>
    <row r="4057" spans="1:8">
      <c r="A4057" s="130"/>
      <c r="B4057" s="130"/>
      <c r="C4057" s="130"/>
      <c r="D4057" s="130"/>
      <c r="E4057" s="130"/>
      <c r="F4057" s="130" t="s">
        <v>92</v>
      </c>
      <c r="G4057" s="130" t="s">
        <v>947</v>
      </c>
      <c r="H4057" s="130"/>
    </row>
    <row r="4058" spans="1:8">
      <c r="A4058" s="130"/>
      <c r="B4058" s="130"/>
      <c r="C4058" s="130"/>
      <c r="D4058" s="130"/>
      <c r="E4058" s="130"/>
      <c r="F4058" s="130" t="s">
        <v>93</v>
      </c>
      <c r="G4058" s="130" t="s">
        <v>948</v>
      </c>
      <c r="H4058" s="130"/>
    </row>
    <row r="4060" spans="1:8">
      <c r="A4060" s="1202" t="s">
        <v>94</v>
      </c>
      <c r="B4060" s="1203"/>
      <c r="C4060" s="1203"/>
      <c r="D4060" s="1203"/>
      <c r="E4060" s="1203"/>
      <c r="F4060" s="1203"/>
      <c r="G4060" s="1203"/>
      <c r="H4060" s="1203"/>
    </row>
    <row r="4061" spans="1:8">
      <c r="A4061" s="130" t="s">
        <v>95</v>
      </c>
      <c r="B4061" s="130" t="s">
        <v>948</v>
      </c>
      <c r="C4061" s="130"/>
      <c r="D4061" s="130"/>
      <c r="E4061" s="130"/>
      <c r="F4061" s="130"/>
      <c r="G4061" s="130"/>
      <c r="H4061" s="130"/>
    </row>
    <row r="4062" spans="1:8">
      <c r="A4062" s="130" t="s">
        <v>96</v>
      </c>
      <c r="B4062" s="130" t="s">
        <v>128</v>
      </c>
      <c r="C4062" s="130"/>
      <c r="D4062" s="130"/>
      <c r="E4062" s="130"/>
      <c r="F4062" s="130"/>
      <c r="G4062" s="130"/>
      <c r="H4062" s="130"/>
    </row>
    <row r="4063" spans="1:8">
      <c r="A4063" s="130" t="s">
        <v>97</v>
      </c>
      <c r="B4063" s="130" t="s">
        <v>122</v>
      </c>
      <c r="C4063" s="130"/>
      <c r="D4063" s="130"/>
      <c r="E4063" s="130"/>
      <c r="F4063" s="130"/>
      <c r="G4063" s="130"/>
      <c r="H4063" s="130"/>
    </row>
    <row r="4064" spans="1:8">
      <c r="A4064" s="130" t="s">
        <v>98</v>
      </c>
      <c r="B4064" s="130" t="s">
        <v>949</v>
      </c>
      <c r="C4064" s="130"/>
      <c r="D4064" s="130"/>
      <c r="E4064" s="130"/>
      <c r="F4064" s="130"/>
      <c r="G4064" s="130"/>
      <c r="H4064" s="130"/>
    </row>
    <row r="4066" spans="1:8">
      <c r="A4066" s="1202" t="s">
        <v>950</v>
      </c>
      <c r="B4066" s="1203"/>
      <c r="C4066" s="1203"/>
      <c r="D4066" s="1203"/>
      <c r="E4066" s="1203"/>
      <c r="F4066" s="1203"/>
      <c r="G4066" s="1203"/>
      <c r="H4066" s="1203"/>
    </row>
    <row r="4067" spans="1:8">
      <c r="A4067" s="1202" t="s">
        <v>951</v>
      </c>
      <c r="B4067" s="1203"/>
      <c r="C4067" s="1203"/>
      <c r="D4067" s="1203"/>
      <c r="E4067" s="1203"/>
      <c r="F4067" s="1203"/>
      <c r="G4067" s="1203"/>
      <c r="H4067" s="1203"/>
    </row>
    <row r="4069" spans="1:8">
      <c r="A4069" s="1203" t="s">
        <v>80</v>
      </c>
      <c r="B4069" s="1203"/>
      <c r="C4069" s="1203"/>
      <c r="D4069" s="1203"/>
      <c r="E4069" s="1203"/>
      <c r="F4069" s="1203"/>
      <c r="G4069" s="1203"/>
      <c r="H4069" s="1203"/>
    </row>
    <row r="4071" spans="1:8">
      <c r="A4071" s="1203" t="s">
        <v>880</v>
      </c>
      <c r="B4071" s="1203"/>
      <c r="C4071" s="1203"/>
      <c r="D4071" s="1203"/>
      <c r="E4071" s="1203"/>
      <c r="F4071" s="1203"/>
      <c r="G4071" s="1203"/>
      <c r="H4071" s="1203"/>
    </row>
    <row r="4073" spans="1:8">
      <c r="A4073" s="133" t="s">
        <v>30</v>
      </c>
      <c r="B4073" s="133" t="s">
        <v>19</v>
      </c>
      <c r="C4073" s="133" t="s">
        <v>81</v>
      </c>
      <c r="D4073" s="133" t="s">
        <v>77</v>
      </c>
      <c r="E4073" s="133" t="s">
        <v>82</v>
      </c>
      <c r="F4073" s="133" t="s">
        <v>83</v>
      </c>
      <c r="G4073" s="133" t="s">
        <v>84</v>
      </c>
      <c r="H4073" s="133" t="s">
        <v>85</v>
      </c>
    </row>
    <row r="4074" spans="1:8">
      <c r="A4074" s="130" t="s">
        <v>881</v>
      </c>
      <c r="B4074" s="130" t="s">
        <v>882</v>
      </c>
      <c r="C4074" s="130" t="s">
        <v>87</v>
      </c>
      <c r="D4074" s="130" t="s">
        <v>102</v>
      </c>
      <c r="E4074" s="130" t="s">
        <v>952</v>
      </c>
      <c r="F4074" s="130" t="s">
        <v>884</v>
      </c>
      <c r="G4074" s="130" t="s">
        <v>953</v>
      </c>
      <c r="H4074" s="130" t="s">
        <v>952</v>
      </c>
    </row>
    <row r="4075" spans="1:8">
      <c r="A4075" s="130" t="s">
        <v>559</v>
      </c>
      <c r="B4075" s="130" t="s">
        <v>560</v>
      </c>
      <c r="C4075" s="130" t="s">
        <v>87</v>
      </c>
      <c r="D4075" s="130" t="s">
        <v>561</v>
      </c>
      <c r="E4075" s="130" t="s">
        <v>954</v>
      </c>
      <c r="F4075" s="130" t="s">
        <v>563</v>
      </c>
      <c r="G4075" s="130" t="s">
        <v>396</v>
      </c>
      <c r="H4075" s="130" t="s">
        <v>954</v>
      </c>
    </row>
    <row r="4076" spans="1:8">
      <c r="A4076" s="130" t="s">
        <v>955</v>
      </c>
      <c r="B4076" s="130" t="s">
        <v>956</v>
      </c>
      <c r="C4076" s="130" t="s">
        <v>87</v>
      </c>
      <c r="D4076" s="130" t="s">
        <v>4</v>
      </c>
      <c r="E4076" s="130" t="s">
        <v>428</v>
      </c>
      <c r="F4076" s="130" t="s">
        <v>957</v>
      </c>
      <c r="G4076" s="130" t="s">
        <v>958</v>
      </c>
      <c r="H4076" s="130" t="s">
        <v>428</v>
      </c>
    </row>
    <row r="4077" spans="1:8">
      <c r="A4077" s="130" t="s">
        <v>892</v>
      </c>
      <c r="B4077" s="130" t="s">
        <v>893</v>
      </c>
      <c r="C4077" s="130" t="s">
        <v>87</v>
      </c>
      <c r="D4077" s="130" t="s">
        <v>102</v>
      </c>
      <c r="E4077" s="130" t="s">
        <v>959</v>
      </c>
      <c r="F4077" s="130" t="s">
        <v>894</v>
      </c>
      <c r="G4077" s="130" t="s">
        <v>179</v>
      </c>
      <c r="H4077" s="130" t="s">
        <v>959</v>
      </c>
    </row>
    <row r="4078" spans="1:8">
      <c r="A4078" s="130" t="s">
        <v>895</v>
      </c>
      <c r="B4078" s="130" t="s">
        <v>896</v>
      </c>
      <c r="C4078" s="130" t="s">
        <v>87</v>
      </c>
      <c r="D4078" s="130" t="s">
        <v>102</v>
      </c>
      <c r="E4078" s="130" t="s">
        <v>960</v>
      </c>
      <c r="F4078" s="130" t="s">
        <v>898</v>
      </c>
      <c r="G4078" s="130" t="s">
        <v>954</v>
      </c>
      <c r="H4078" s="130" t="s">
        <v>960</v>
      </c>
    </row>
    <row r="4079" spans="1:8">
      <c r="A4079" s="130" t="s">
        <v>109</v>
      </c>
      <c r="B4079" s="130" t="s">
        <v>110</v>
      </c>
      <c r="C4079" s="130" t="s">
        <v>108</v>
      </c>
      <c r="D4079" s="130" t="s">
        <v>105</v>
      </c>
      <c r="E4079" s="130" t="s">
        <v>961</v>
      </c>
      <c r="F4079" s="130" t="s">
        <v>579</v>
      </c>
      <c r="G4079" s="130" t="s">
        <v>424</v>
      </c>
      <c r="H4079" s="130" t="s">
        <v>961</v>
      </c>
    </row>
    <row r="4080" spans="1:8">
      <c r="A4080" s="130" t="s">
        <v>901</v>
      </c>
      <c r="B4080" s="130" t="s">
        <v>902</v>
      </c>
      <c r="C4080" s="130" t="s">
        <v>108</v>
      </c>
      <c r="D4080" s="130" t="s">
        <v>105</v>
      </c>
      <c r="E4080" s="130" t="s">
        <v>962</v>
      </c>
      <c r="F4080" s="130" t="s">
        <v>904</v>
      </c>
      <c r="G4080" s="130" t="s">
        <v>963</v>
      </c>
      <c r="H4080" s="130" t="s">
        <v>962</v>
      </c>
    </row>
    <row r="4081" spans="1:8">
      <c r="A4081" s="130" t="s">
        <v>864</v>
      </c>
      <c r="B4081" s="130" t="s">
        <v>865</v>
      </c>
      <c r="C4081" s="130" t="s">
        <v>108</v>
      </c>
      <c r="D4081" s="130" t="s">
        <v>866</v>
      </c>
      <c r="E4081" s="130" t="s">
        <v>905</v>
      </c>
      <c r="F4081" s="130" t="s">
        <v>868</v>
      </c>
      <c r="G4081" s="130" t="s">
        <v>734</v>
      </c>
      <c r="H4081" s="130" t="s">
        <v>905</v>
      </c>
    </row>
    <row r="4082" spans="1:8">
      <c r="A4082" s="130" t="s">
        <v>869</v>
      </c>
      <c r="B4082" s="130" t="s">
        <v>870</v>
      </c>
      <c r="C4082" s="130" t="s">
        <v>108</v>
      </c>
      <c r="D4082" s="130" t="s">
        <v>871</v>
      </c>
      <c r="E4082" s="130" t="s">
        <v>906</v>
      </c>
      <c r="F4082" s="130" t="s">
        <v>873</v>
      </c>
      <c r="G4082" s="130" t="s">
        <v>907</v>
      </c>
      <c r="H4082" s="130" t="s">
        <v>906</v>
      </c>
    </row>
    <row r="4083" spans="1:8">
      <c r="A4083" s="130"/>
      <c r="B4083" s="130"/>
      <c r="C4083" s="130"/>
      <c r="D4083" s="130"/>
      <c r="E4083" s="130"/>
      <c r="F4083" s="130" t="s">
        <v>90</v>
      </c>
      <c r="G4083" s="130" t="s">
        <v>964</v>
      </c>
      <c r="H4083" s="130"/>
    </row>
    <row r="4084" spans="1:8">
      <c r="A4084" s="130"/>
      <c r="B4084" s="130"/>
      <c r="C4084" s="130"/>
      <c r="D4084" s="130"/>
      <c r="E4084" s="130"/>
      <c r="F4084" s="130" t="s">
        <v>92</v>
      </c>
      <c r="G4084" s="130" t="s">
        <v>965</v>
      </c>
      <c r="H4084" s="130"/>
    </row>
    <row r="4085" spans="1:8">
      <c r="A4085" s="130"/>
      <c r="B4085" s="130"/>
      <c r="C4085" s="130"/>
      <c r="D4085" s="130"/>
      <c r="E4085" s="130"/>
      <c r="F4085" s="130" t="s">
        <v>93</v>
      </c>
      <c r="G4085" s="130" t="s">
        <v>966</v>
      </c>
      <c r="H4085" s="130"/>
    </row>
    <row r="4087" spans="1:8">
      <c r="A4087" s="1202" t="s">
        <v>94</v>
      </c>
      <c r="B4087" s="1203"/>
      <c r="C4087" s="1203"/>
      <c r="D4087" s="1203"/>
      <c r="E4087" s="1203"/>
      <c r="F4087" s="1203"/>
      <c r="G4087" s="1203"/>
      <c r="H4087" s="1203"/>
    </row>
    <row r="4088" spans="1:8">
      <c r="A4088" s="130" t="s">
        <v>95</v>
      </c>
      <c r="B4088" s="130" t="s">
        <v>966</v>
      </c>
      <c r="C4088" s="130"/>
      <c r="D4088" s="130"/>
      <c r="E4088" s="130"/>
      <c r="F4088" s="130"/>
      <c r="G4088" s="130"/>
      <c r="H4088" s="130"/>
    </row>
    <row r="4089" spans="1:8">
      <c r="A4089" s="130" t="s">
        <v>96</v>
      </c>
      <c r="B4089" s="130" t="s">
        <v>967</v>
      </c>
      <c r="C4089" s="130"/>
      <c r="D4089" s="130"/>
      <c r="E4089" s="130"/>
      <c r="F4089" s="130"/>
      <c r="G4089" s="130"/>
      <c r="H4089" s="130"/>
    </row>
    <row r="4090" spans="1:8">
      <c r="A4090" s="130" t="s">
        <v>97</v>
      </c>
      <c r="B4090" s="130" t="s">
        <v>968</v>
      </c>
      <c r="C4090" s="130"/>
      <c r="D4090" s="130"/>
      <c r="E4090" s="130"/>
      <c r="F4090" s="130"/>
      <c r="G4090" s="130"/>
      <c r="H4090" s="130"/>
    </row>
    <row r="4091" spans="1:8">
      <c r="A4091" s="130" t="s">
        <v>98</v>
      </c>
      <c r="B4091" s="130" t="s">
        <v>969</v>
      </c>
      <c r="C4091" s="130"/>
      <c r="D4091" s="130"/>
      <c r="E4091" s="130"/>
      <c r="F4091" s="130"/>
      <c r="G4091" s="130"/>
      <c r="H4091" s="130"/>
    </row>
    <row r="4094" spans="1:8">
      <c r="A4094" s="1202" t="s">
        <v>970</v>
      </c>
      <c r="B4094" s="1203"/>
      <c r="C4094" s="1203"/>
      <c r="D4094" s="1203"/>
      <c r="E4094" s="1203"/>
      <c r="F4094" s="1203"/>
      <c r="G4094" s="1203"/>
      <c r="H4094" s="1203"/>
    </row>
    <row r="4095" spans="1:8">
      <c r="A4095" s="1202" t="s">
        <v>971</v>
      </c>
      <c r="B4095" s="1203"/>
      <c r="C4095" s="1203"/>
      <c r="D4095" s="1203"/>
      <c r="E4095" s="1203"/>
      <c r="F4095" s="1203"/>
      <c r="G4095" s="1203"/>
      <c r="H4095" s="1203"/>
    </row>
    <row r="4097" spans="1:8">
      <c r="A4097" s="1203" t="s">
        <v>80</v>
      </c>
      <c r="B4097" s="1203"/>
      <c r="C4097" s="1203"/>
      <c r="D4097" s="1203"/>
      <c r="E4097" s="1203"/>
      <c r="F4097" s="1203"/>
      <c r="G4097" s="1203"/>
      <c r="H4097" s="1203"/>
    </row>
    <row r="4099" spans="1:8">
      <c r="A4099" s="1203" t="s">
        <v>99</v>
      </c>
      <c r="B4099" s="1203"/>
      <c r="C4099" s="1203"/>
      <c r="D4099" s="1203"/>
      <c r="E4099" s="1203"/>
      <c r="F4099" s="1203"/>
      <c r="G4099" s="1203"/>
      <c r="H4099" s="1203"/>
    </row>
    <row r="4101" spans="1:8">
      <c r="A4101" s="133" t="s">
        <v>30</v>
      </c>
      <c r="B4101" s="133" t="s">
        <v>19</v>
      </c>
      <c r="C4101" s="133" t="s">
        <v>81</v>
      </c>
      <c r="D4101" s="133" t="s">
        <v>77</v>
      </c>
      <c r="E4101" s="133" t="s">
        <v>82</v>
      </c>
      <c r="F4101" s="133" t="s">
        <v>83</v>
      </c>
      <c r="G4101" s="133" t="s">
        <v>84</v>
      </c>
      <c r="H4101" s="133" t="s">
        <v>85</v>
      </c>
    </row>
    <row r="4102" spans="1:8">
      <c r="A4102" s="130" t="s">
        <v>972</v>
      </c>
      <c r="B4102" s="130" t="s">
        <v>973</v>
      </c>
      <c r="C4102" s="130" t="s">
        <v>87</v>
      </c>
      <c r="D4102" s="130" t="s">
        <v>5</v>
      </c>
      <c r="E4102" s="130" t="s">
        <v>974</v>
      </c>
      <c r="F4102" s="130" t="s">
        <v>761</v>
      </c>
      <c r="G4102" s="130" t="s">
        <v>975</v>
      </c>
      <c r="H4102" s="130" t="s">
        <v>974</v>
      </c>
    </row>
    <row r="4103" spans="1:8">
      <c r="A4103" s="130" t="s">
        <v>109</v>
      </c>
      <c r="B4103" s="130" t="s">
        <v>110</v>
      </c>
      <c r="C4103" s="130" t="s">
        <v>108</v>
      </c>
      <c r="D4103" s="130" t="s">
        <v>105</v>
      </c>
      <c r="E4103" s="130" t="s">
        <v>976</v>
      </c>
      <c r="F4103" s="130" t="s">
        <v>579</v>
      </c>
      <c r="G4103" s="130" t="s">
        <v>538</v>
      </c>
      <c r="H4103" s="130" t="s">
        <v>976</v>
      </c>
    </row>
    <row r="4104" spans="1:8">
      <c r="A4104" s="130" t="s">
        <v>901</v>
      </c>
      <c r="B4104" s="130" t="s">
        <v>902</v>
      </c>
      <c r="C4104" s="130" t="s">
        <v>108</v>
      </c>
      <c r="D4104" s="130" t="s">
        <v>105</v>
      </c>
      <c r="E4104" s="130" t="s">
        <v>977</v>
      </c>
      <c r="F4104" s="130" t="s">
        <v>904</v>
      </c>
      <c r="G4104" s="130" t="s">
        <v>216</v>
      </c>
      <c r="H4104" s="130" t="s">
        <v>977</v>
      </c>
    </row>
    <row r="4105" spans="1:8">
      <c r="A4105" s="130" t="s">
        <v>864</v>
      </c>
      <c r="B4105" s="130" t="s">
        <v>865</v>
      </c>
      <c r="C4105" s="130" t="s">
        <v>108</v>
      </c>
      <c r="D4105" s="130" t="s">
        <v>866</v>
      </c>
      <c r="E4105" s="130" t="s">
        <v>978</v>
      </c>
      <c r="F4105" s="130" t="s">
        <v>868</v>
      </c>
      <c r="G4105" s="130" t="s">
        <v>979</v>
      </c>
      <c r="H4105" s="130" t="s">
        <v>978</v>
      </c>
    </row>
    <row r="4106" spans="1:8">
      <c r="A4106" s="130" t="s">
        <v>869</v>
      </c>
      <c r="B4106" s="130" t="s">
        <v>870</v>
      </c>
      <c r="C4106" s="130" t="s">
        <v>108</v>
      </c>
      <c r="D4106" s="130" t="s">
        <v>871</v>
      </c>
      <c r="E4106" s="130" t="s">
        <v>980</v>
      </c>
      <c r="F4106" s="130" t="s">
        <v>873</v>
      </c>
      <c r="G4106" s="130" t="s">
        <v>981</v>
      </c>
      <c r="H4106" s="130" t="s">
        <v>980</v>
      </c>
    </row>
    <row r="4107" spans="1:8">
      <c r="A4107" s="130"/>
      <c r="B4107" s="130"/>
      <c r="C4107" s="130"/>
      <c r="D4107" s="130"/>
      <c r="E4107" s="130"/>
      <c r="F4107" s="130" t="s">
        <v>90</v>
      </c>
      <c r="G4107" s="130" t="s">
        <v>89</v>
      </c>
      <c r="H4107" s="130"/>
    </row>
    <row r="4108" spans="1:8">
      <c r="A4108" s="130"/>
      <c r="B4108" s="130"/>
      <c r="C4108" s="130"/>
      <c r="D4108" s="130"/>
      <c r="E4108" s="130"/>
      <c r="F4108" s="130" t="s">
        <v>92</v>
      </c>
      <c r="G4108" s="130" t="s">
        <v>982</v>
      </c>
      <c r="H4108" s="130"/>
    </row>
    <row r="4109" spans="1:8">
      <c r="A4109" s="130"/>
      <c r="B4109" s="130"/>
      <c r="C4109" s="130"/>
      <c r="D4109" s="130"/>
      <c r="E4109" s="130"/>
      <c r="F4109" s="130" t="s">
        <v>93</v>
      </c>
      <c r="G4109" s="130" t="s">
        <v>675</v>
      </c>
      <c r="H4109" s="130"/>
    </row>
    <row r="4111" spans="1:8">
      <c r="A4111" s="1202" t="s">
        <v>94</v>
      </c>
      <c r="B4111" s="1203"/>
      <c r="C4111" s="1203"/>
      <c r="D4111" s="1203"/>
      <c r="E4111" s="1203"/>
      <c r="F4111" s="1203"/>
      <c r="G4111" s="1203"/>
      <c r="H4111" s="1203"/>
    </row>
    <row r="4112" spans="1:8">
      <c r="A4112" s="130" t="s">
        <v>95</v>
      </c>
      <c r="B4112" s="130" t="s">
        <v>675</v>
      </c>
      <c r="C4112" s="130"/>
      <c r="D4112" s="130"/>
      <c r="E4112" s="130"/>
      <c r="F4112" s="130"/>
      <c r="G4112" s="130"/>
      <c r="H4112" s="130"/>
    </row>
    <row r="4113" spans="1:8">
      <c r="A4113" s="130" t="s">
        <v>96</v>
      </c>
      <c r="B4113" s="130" t="s">
        <v>275</v>
      </c>
      <c r="C4113" s="130"/>
      <c r="D4113" s="130"/>
      <c r="E4113" s="130"/>
      <c r="F4113" s="130"/>
      <c r="G4113" s="130"/>
      <c r="H4113" s="130"/>
    </row>
    <row r="4114" spans="1:8">
      <c r="A4114" s="130" t="s">
        <v>97</v>
      </c>
      <c r="B4114" s="130" t="s">
        <v>983</v>
      </c>
      <c r="C4114" s="130"/>
      <c r="D4114" s="130"/>
      <c r="E4114" s="130"/>
      <c r="F4114" s="130"/>
      <c r="G4114" s="130"/>
      <c r="H4114" s="130"/>
    </row>
    <row r="4115" spans="1:8">
      <c r="A4115" s="130" t="s">
        <v>98</v>
      </c>
      <c r="B4115" s="130" t="s">
        <v>984</v>
      </c>
      <c r="C4115" s="130"/>
      <c r="D4115" s="130"/>
      <c r="E4115" s="130"/>
      <c r="F4115" s="130"/>
      <c r="G4115" s="130"/>
      <c r="H4115" s="130"/>
    </row>
    <row r="4117" spans="1:8">
      <c r="A4117" s="1202" t="s">
        <v>988</v>
      </c>
      <c r="B4117" s="1203"/>
      <c r="C4117" s="1203"/>
      <c r="D4117" s="1203"/>
      <c r="E4117" s="1203"/>
      <c r="F4117" s="1203"/>
      <c r="G4117" s="1203"/>
      <c r="H4117" s="1203"/>
    </row>
    <row r="4118" spans="1:8">
      <c r="A4118" s="1202" t="s">
        <v>989</v>
      </c>
      <c r="B4118" s="1203"/>
      <c r="C4118" s="1203"/>
      <c r="D4118" s="1203"/>
      <c r="E4118" s="1203"/>
      <c r="F4118" s="1203"/>
      <c r="G4118" s="1203"/>
      <c r="H4118" s="1203"/>
    </row>
    <row r="4120" spans="1:8">
      <c r="A4120" s="1203" t="s">
        <v>80</v>
      </c>
      <c r="B4120" s="1203"/>
      <c r="C4120" s="1203"/>
      <c r="D4120" s="1203"/>
      <c r="E4120" s="1203"/>
      <c r="F4120" s="1203"/>
      <c r="G4120" s="1203"/>
      <c r="H4120" s="1203"/>
    </row>
    <row r="4122" spans="1:8">
      <c r="A4122" s="1203" t="s">
        <v>99</v>
      </c>
      <c r="B4122" s="1203"/>
      <c r="C4122" s="1203"/>
      <c r="D4122" s="1203"/>
      <c r="E4122" s="1203"/>
      <c r="F4122" s="1203"/>
      <c r="G4122" s="1203"/>
      <c r="H4122" s="1203"/>
    </row>
    <row r="4124" spans="1:8">
      <c r="A4124" s="133" t="s">
        <v>30</v>
      </c>
      <c r="B4124" s="133" t="s">
        <v>19</v>
      </c>
      <c r="C4124" s="133" t="s">
        <v>81</v>
      </c>
      <c r="D4124" s="133" t="s">
        <v>77</v>
      </c>
      <c r="E4124" s="133" t="s">
        <v>82</v>
      </c>
      <c r="F4124" s="133" t="s">
        <v>83</v>
      </c>
      <c r="G4124" s="133" t="s">
        <v>84</v>
      </c>
      <c r="H4124" s="133" t="s">
        <v>85</v>
      </c>
    </row>
    <row r="4125" spans="1:8">
      <c r="A4125" s="130" t="s">
        <v>990</v>
      </c>
      <c r="B4125" s="130" t="s">
        <v>991</v>
      </c>
      <c r="C4125" s="130" t="s">
        <v>87</v>
      </c>
      <c r="D4125" s="130" t="s">
        <v>102</v>
      </c>
      <c r="E4125" s="130" t="s">
        <v>992</v>
      </c>
      <c r="F4125" s="130" t="s">
        <v>993</v>
      </c>
      <c r="G4125" s="130" t="s">
        <v>809</v>
      </c>
      <c r="H4125" s="130" t="s">
        <v>992</v>
      </c>
    </row>
    <row r="4126" spans="1:8">
      <c r="A4126" s="130" t="s">
        <v>994</v>
      </c>
      <c r="B4126" s="130" t="s">
        <v>995</v>
      </c>
      <c r="C4126" s="130" t="s">
        <v>108</v>
      </c>
      <c r="D4126" s="130" t="s">
        <v>105</v>
      </c>
      <c r="E4126" s="130" t="s">
        <v>903</v>
      </c>
      <c r="F4126" s="130" t="s">
        <v>996</v>
      </c>
      <c r="G4126" s="130" t="s">
        <v>997</v>
      </c>
      <c r="H4126" s="130" t="s">
        <v>903</v>
      </c>
    </row>
    <row r="4127" spans="1:8">
      <c r="A4127" s="130" t="s">
        <v>109</v>
      </c>
      <c r="B4127" s="130" t="s">
        <v>110</v>
      </c>
      <c r="C4127" s="130" t="s">
        <v>108</v>
      </c>
      <c r="D4127" s="130" t="s">
        <v>105</v>
      </c>
      <c r="E4127" s="130" t="s">
        <v>998</v>
      </c>
      <c r="F4127" s="130" t="s">
        <v>579</v>
      </c>
      <c r="G4127" s="130" t="s">
        <v>999</v>
      </c>
      <c r="H4127" s="130" t="s">
        <v>998</v>
      </c>
    </row>
    <row r="4128" spans="1:8">
      <c r="A4128" s="130"/>
      <c r="B4128" s="130"/>
      <c r="C4128" s="130"/>
      <c r="D4128" s="130"/>
      <c r="E4128" s="130"/>
      <c r="F4128" s="130" t="s">
        <v>90</v>
      </c>
      <c r="G4128" s="130" t="s">
        <v>1000</v>
      </c>
      <c r="H4128" s="130"/>
    </row>
    <row r="4129" spans="1:8">
      <c r="A4129" s="130"/>
      <c r="B4129" s="130"/>
      <c r="C4129" s="130"/>
      <c r="D4129" s="130"/>
      <c r="E4129" s="130"/>
      <c r="F4129" s="130" t="s">
        <v>92</v>
      </c>
      <c r="G4129" s="130" t="s">
        <v>1001</v>
      </c>
      <c r="H4129" s="130"/>
    </row>
    <row r="4130" spans="1:8">
      <c r="A4130" s="130"/>
      <c r="B4130" s="130"/>
      <c r="C4130" s="130"/>
      <c r="D4130" s="130"/>
      <c r="E4130" s="130"/>
      <c r="F4130" s="130" t="s">
        <v>93</v>
      </c>
      <c r="G4130" s="130" t="s">
        <v>1002</v>
      </c>
      <c r="H4130" s="130"/>
    </row>
    <row r="4132" spans="1:8">
      <c r="A4132" s="1202" t="s">
        <v>94</v>
      </c>
      <c r="B4132" s="1203"/>
      <c r="C4132" s="1203"/>
      <c r="D4132" s="1203"/>
      <c r="E4132" s="1203"/>
      <c r="F4132" s="1203"/>
      <c r="G4132" s="1203"/>
      <c r="H4132" s="1203"/>
    </row>
    <row r="4133" spans="1:8">
      <c r="A4133" s="130" t="s">
        <v>95</v>
      </c>
      <c r="B4133" s="130" t="s">
        <v>1002</v>
      </c>
      <c r="C4133" s="130"/>
      <c r="D4133" s="130"/>
      <c r="E4133" s="130"/>
      <c r="F4133" s="130"/>
      <c r="G4133" s="130"/>
      <c r="H4133" s="130"/>
    </row>
    <row r="4134" spans="1:8">
      <c r="A4134" s="130" t="s">
        <v>96</v>
      </c>
      <c r="B4134" s="130" t="s">
        <v>1003</v>
      </c>
      <c r="C4134" s="130"/>
      <c r="D4134" s="130"/>
      <c r="E4134" s="130"/>
      <c r="F4134" s="130"/>
      <c r="G4134" s="130"/>
      <c r="H4134" s="130"/>
    </row>
    <row r="4135" spans="1:8">
      <c r="A4135" s="130" t="s">
        <v>97</v>
      </c>
      <c r="B4135" s="130" t="s">
        <v>1004</v>
      </c>
      <c r="C4135" s="130"/>
      <c r="D4135" s="130"/>
      <c r="E4135" s="130"/>
      <c r="F4135" s="130"/>
      <c r="G4135" s="130"/>
      <c r="H4135" s="130"/>
    </row>
    <row r="4136" spans="1:8">
      <c r="A4136" s="130" t="s">
        <v>98</v>
      </c>
      <c r="B4136" s="130" t="s">
        <v>1005</v>
      </c>
      <c r="C4136" s="130"/>
      <c r="D4136" s="130"/>
      <c r="E4136" s="130"/>
      <c r="F4136" s="130"/>
      <c r="G4136" s="130"/>
      <c r="H4136" s="130"/>
    </row>
    <row r="4138" spans="1:8">
      <c r="A4138" s="1202" t="s">
        <v>1006</v>
      </c>
      <c r="B4138" s="1203"/>
      <c r="C4138" s="1203"/>
      <c r="D4138" s="1203"/>
      <c r="E4138" s="1203"/>
      <c r="F4138" s="1203"/>
      <c r="G4138" s="1203"/>
      <c r="H4138" s="1203"/>
    </row>
    <row r="4139" spans="1:8">
      <c r="A4139" s="1202" t="s">
        <v>1007</v>
      </c>
      <c r="B4139" s="1203"/>
      <c r="C4139" s="1203"/>
      <c r="D4139" s="1203"/>
      <c r="E4139" s="1203"/>
      <c r="F4139" s="1203"/>
      <c r="G4139" s="1203"/>
      <c r="H4139" s="1203"/>
    </row>
    <row r="4141" spans="1:8">
      <c r="A4141" s="1203" t="s">
        <v>80</v>
      </c>
      <c r="B4141" s="1203"/>
      <c r="C4141" s="1203"/>
      <c r="D4141" s="1203"/>
      <c r="E4141" s="1203"/>
      <c r="F4141" s="1203"/>
      <c r="G4141" s="1203"/>
      <c r="H4141" s="1203"/>
    </row>
    <row r="4143" spans="1:8">
      <c r="A4143" s="1203" t="s">
        <v>99</v>
      </c>
      <c r="B4143" s="1203"/>
      <c r="C4143" s="1203"/>
      <c r="D4143" s="1203"/>
      <c r="E4143" s="1203"/>
      <c r="F4143" s="1203"/>
      <c r="G4143" s="1203"/>
      <c r="H4143" s="1203"/>
    </row>
    <row r="4145" spans="1:8">
      <c r="A4145" s="133" t="s">
        <v>30</v>
      </c>
      <c r="B4145" s="133" t="s">
        <v>19</v>
      </c>
      <c r="C4145" s="133" t="s">
        <v>81</v>
      </c>
      <c r="D4145" s="133" t="s">
        <v>77</v>
      </c>
      <c r="E4145" s="133" t="s">
        <v>82</v>
      </c>
      <c r="F4145" s="133" t="s">
        <v>83</v>
      </c>
      <c r="G4145" s="133" t="s">
        <v>84</v>
      </c>
      <c r="H4145" s="133" t="s">
        <v>85</v>
      </c>
    </row>
    <row r="4146" spans="1:8">
      <c r="A4146" s="130" t="s">
        <v>1008</v>
      </c>
      <c r="B4146" s="130" t="s">
        <v>1009</v>
      </c>
      <c r="C4146" s="130" t="s">
        <v>87</v>
      </c>
      <c r="D4146" s="130" t="s">
        <v>188</v>
      </c>
      <c r="E4146" s="130" t="s">
        <v>389</v>
      </c>
      <c r="F4146" s="130" t="s">
        <v>1010</v>
      </c>
      <c r="G4146" s="130" t="s">
        <v>229</v>
      </c>
      <c r="H4146" s="130" t="s">
        <v>389</v>
      </c>
    </row>
    <row r="4147" spans="1:8">
      <c r="A4147" s="130" t="s">
        <v>994</v>
      </c>
      <c r="B4147" s="130" t="s">
        <v>995</v>
      </c>
      <c r="C4147" s="130" t="s">
        <v>108</v>
      </c>
      <c r="D4147" s="130" t="s">
        <v>105</v>
      </c>
      <c r="E4147" s="130" t="s">
        <v>1011</v>
      </c>
      <c r="F4147" s="130" t="s">
        <v>996</v>
      </c>
      <c r="G4147" s="130" t="s">
        <v>1012</v>
      </c>
      <c r="H4147" s="130" t="s">
        <v>1011</v>
      </c>
    </row>
    <row r="4148" spans="1:8">
      <c r="A4148" s="130" t="s">
        <v>109</v>
      </c>
      <c r="B4148" s="130" t="s">
        <v>110</v>
      </c>
      <c r="C4148" s="130" t="s">
        <v>108</v>
      </c>
      <c r="D4148" s="130" t="s">
        <v>105</v>
      </c>
      <c r="E4148" s="130" t="s">
        <v>998</v>
      </c>
      <c r="F4148" s="130" t="s">
        <v>579</v>
      </c>
      <c r="G4148" s="130" t="s">
        <v>999</v>
      </c>
      <c r="H4148" s="130" t="s">
        <v>998</v>
      </c>
    </row>
    <row r="4149" spans="1:8">
      <c r="A4149" s="130"/>
      <c r="B4149" s="130"/>
      <c r="C4149" s="130"/>
      <c r="D4149" s="130"/>
      <c r="E4149" s="130"/>
      <c r="F4149" s="130" t="s">
        <v>90</v>
      </c>
      <c r="G4149" s="130" t="s">
        <v>1013</v>
      </c>
      <c r="H4149" s="130"/>
    </row>
    <row r="4150" spans="1:8">
      <c r="A4150" s="130"/>
      <c r="B4150" s="130"/>
      <c r="C4150" s="130"/>
      <c r="D4150" s="130"/>
      <c r="E4150" s="130"/>
      <c r="F4150" s="130" t="s">
        <v>92</v>
      </c>
      <c r="G4150" s="130" t="s">
        <v>148</v>
      </c>
      <c r="H4150" s="130"/>
    </row>
    <row r="4151" spans="1:8">
      <c r="A4151" s="130"/>
      <c r="B4151" s="130"/>
      <c r="C4151" s="130"/>
      <c r="D4151" s="130"/>
      <c r="E4151" s="130"/>
      <c r="F4151" s="130" t="s">
        <v>93</v>
      </c>
      <c r="G4151" s="130" t="s">
        <v>1014</v>
      </c>
      <c r="H4151" s="130"/>
    </row>
    <row r="4153" spans="1:8">
      <c r="A4153" s="1202" t="s">
        <v>94</v>
      </c>
      <c r="B4153" s="1203"/>
      <c r="C4153" s="1203"/>
      <c r="D4153" s="1203"/>
      <c r="E4153" s="1203"/>
      <c r="F4153" s="1203"/>
      <c r="G4153" s="1203"/>
      <c r="H4153" s="1203"/>
    </row>
    <row r="4154" spans="1:8">
      <c r="A4154" s="130" t="s">
        <v>95</v>
      </c>
      <c r="B4154" s="130" t="s">
        <v>1014</v>
      </c>
      <c r="C4154" s="130"/>
      <c r="D4154" s="130"/>
      <c r="E4154" s="130"/>
      <c r="F4154" s="130"/>
      <c r="G4154" s="130"/>
      <c r="H4154" s="130"/>
    </row>
    <row r="4155" spans="1:8">
      <c r="A4155" s="130" t="s">
        <v>96</v>
      </c>
      <c r="B4155" s="130" t="s">
        <v>1003</v>
      </c>
      <c r="C4155" s="130"/>
      <c r="D4155" s="130"/>
      <c r="E4155" s="130"/>
      <c r="F4155" s="130"/>
      <c r="G4155" s="130"/>
      <c r="H4155" s="130"/>
    </row>
    <row r="4156" spans="1:8">
      <c r="A4156" s="130" t="s">
        <v>97</v>
      </c>
      <c r="B4156" s="130" t="s">
        <v>1015</v>
      </c>
      <c r="C4156" s="130"/>
      <c r="D4156" s="130"/>
      <c r="E4156" s="130"/>
      <c r="F4156" s="130"/>
      <c r="G4156" s="130"/>
      <c r="H4156" s="130"/>
    </row>
    <row r="4157" spans="1:8">
      <c r="A4157" s="130" t="s">
        <v>98</v>
      </c>
      <c r="B4157" s="130" t="s">
        <v>1016</v>
      </c>
      <c r="C4157" s="130"/>
      <c r="D4157" s="130"/>
      <c r="E4157" s="130"/>
      <c r="F4157" s="130"/>
      <c r="G4157" s="130"/>
      <c r="H4157" s="130"/>
    </row>
    <row r="4159" spans="1:8">
      <c r="A4159" s="1202" t="s">
        <v>1040</v>
      </c>
      <c r="B4159" s="1203"/>
      <c r="C4159" s="1203"/>
      <c r="D4159" s="1203"/>
      <c r="E4159" s="1203"/>
      <c r="F4159" s="1203"/>
      <c r="G4159" s="1203"/>
      <c r="H4159" s="1203"/>
    </row>
    <row r="4160" spans="1:8">
      <c r="A4160" s="1202" t="s">
        <v>1041</v>
      </c>
      <c r="B4160" s="1203"/>
      <c r="C4160" s="1203"/>
      <c r="D4160" s="1203"/>
      <c r="E4160" s="1203"/>
      <c r="F4160" s="1203"/>
      <c r="G4160" s="1203"/>
      <c r="H4160" s="1203"/>
    </row>
    <row r="4162" spans="1:8">
      <c r="A4162" s="1203" t="s">
        <v>80</v>
      </c>
      <c r="B4162" s="1203"/>
      <c r="C4162" s="1203"/>
      <c r="D4162" s="1203"/>
      <c r="E4162" s="1203"/>
      <c r="F4162" s="1203"/>
      <c r="G4162" s="1203"/>
      <c r="H4162" s="1203"/>
    </row>
    <row r="4164" spans="1:8">
      <c r="A4164" s="1203" t="s">
        <v>99</v>
      </c>
      <c r="B4164" s="1203"/>
      <c r="C4164" s="1203"/>
      <c r="D4164" s="1203"/>
      <c r="E4164" s="1203"/>
      <c r="F4164" s="1203"/>
      <c r="G4164" s="1203"/>
      <c r="H4164" s="1203"/>
    </row>
    <row r="4166" spans="1:8">
      <c r="A4166" s="133" t="s">
        <v>30</v>
      </c>
      <c r="B4166" s="133" t="s">
        <v>19</v>
      </c>
      <c r="C4166" s="133" t="s">
        <v>81</v>
      </c>
      <c r="D4166" s="133" t="s">
        <v>77</v>
      </c>
      <c r="E4166" s="133" t="s">
        <v>82</v>
      </c>
      <c r="F4166" s="133" t="s">
        <v>83</v>
      </c>
      <c r="G4166" s="133" t="s">
        <v>84</v>
      </c>
      <c r="H4166" s="133" t="s">
        <v>85</v>
      </c>
    </row>
    <row r="4167" spans="1:8">
      <c r="A4167" s="130" t="s">
        <v>1042</v>
      </c>
      <c r="B4167" s="130" t="s">
        <v>1043</v>
      </c>
      <c r="C4167" s="130" t="s">
        <v>87</v>
      </c>
      <c r="D4167" s="130" t="s">
        <v>102</v>
      </c>
      <c r="E4167" s="130" t="s">
        <v>146</v>
      </c>
      <c r="F4167" s="130" t="s">
        <v>204</v>
      </c>
      <c r="G4167" s="130" t="s">
        <v>297</v>
      </c>
      <c r="H4167" s="130" t="s">
        <v>146</v>
      </c>
    </row>
    <row r="4168" spans="1:8">
      <c r="A4168" s="130" t="s">
        <v>1044</v>
      </c>
      <c r="B4168" s="130" t="s">
        <v>1045</v>
      </c>
      <c r="C4168" s="130" t="s">
        <v>87</v>
      </c>
      <c r="D4168" s="130" t="s">
        <v>188</v>
      </c>
      <c r="E4168" s="130" t="s">
        <v>1046</v>
      </c>
      <c r="F4168" s="130" t="s">
        <v>610</v>
      </c>
      <c r="G4168" s="130" t="s">
        <v>1047</v>
      </c>
      <c r="H4168" s="130" t="s">
        <v>1046</v>
      </c>
    </row>
    <row r="4169" spans="1:8">
      <c r="A4169" s="130" t="s">
        <v>1048</v>
      </c>
      <c r="B4169" s="130" t="s">
        <v>1049</v>
      </c>
      <c r="C4169" s="130" t="s">
        <v>108</v>
      </c>
      <c r="D4169" s="130" t="s">
        <v>112</v>
      </c>
      <c r="E4169" s="130" t="s">
        <v>1050</v>
      </c>
      <c r="F4169" s="130" t="s">
        <v>1051</v>
      </c>
      <c r="G4169" s="130" t="s">
        <v>609</v>
      </c>
      <c r="H4169" s="130" t="s">
        <v>1050</v>
      </c>
    </row>
    <row r="4170" spans="1:8">
      <c r="A4170" s="130" t="s">
        <v>117</v>
      </c>
      <c r="B4170" s="130" t="s">
        <v>118</v>
      </c>
      <c r="C4170" s="130" t="s">
        <v>108</v>
      </c>
      <c r="D4170" s="130" t="s">
        <v>105</v>
      </c>
      <c r="E4170" s="130" t="s">
        <v>389</v>
      </c>
      <c r="F4170" s="130" t="s">
        <v>576</v>
      </c>
      <c r="G4170" s="130" t="s">
        <v>1052</v>
      </c>
      <c r="H4170" s="130" t="s">
        <v>389</v>
      </c>
    </row>
    <row r="4171" spans="1:8">
      <c r="A4171" s="130" t="s">
        <v>109</v>
      </c>
      <c r="B4171" s="130" t="s">
        <v>110</v>
      </c>
      <c r="C4171" s="130" t="s">
        <v>108</v>
      </c>
      <c r="D4171" s="130" t="s">
        <v>105</v>
      </c>
      <c r="E4171" s="130" t="s">
        <v>1053</v>
      </c>
      <c r="F4171" s="130" t="s">
        <v>579</v>
      </c>
      <c r="G4171" s="130" t="s">
        <v>1054</v>
      </c>
      <c r="H4171" s="130" t="s">
        <v>1053</v>
      </c>
    </row>
    <row r="4172" spans="1:8">
      <c r="A4172" s="130"/>
      <c r="B4172" s="130"/>
      <c r="C4172" s="130"/>
      <c r="D4172" s="130"/>
      <c r="E4172" s="130"/>
      <c r="F4172" s="130" t="s">
        <v>90</v>
      </c>
      <c r="G4172" s="130" t="s">
        <v>1055</v>
      </c>
      <c r="H4172" s="130"/>
    </row>
    <row r="4173" spans="1:8">
      <c r="A4173" s="130"/>
      <c r="B4173" s="130"/>
      <c r="C4173" s="130"/>
      <c r="D4173" s="130"/>
      <c r="E4173" s="130"/>
      <c r="F4173" s="130" t="s">
        <v>92</v>
      </c>
      <c r="G4173" s="130" t="s">
        <v>1056</v>
      </c>
      <c r="H4173" s="130"/>
    </row>
    <row r="4174" spans="1:8">
      <c r="A4174" s="130"/>
      <c r="B4174" s="130"/>
      <c r="C4174" s="130"/>
      <c r="D4174" s="130"/>
      <c r="E4174" s="130"/>
      <c r="F4174" s="130" t="s">
        <v>93</v>
      </c>
      <c r="G4174" s="130" t="s">
        <v>1057</v>
      </c>
      <c r="H4174" s="130"/>
    </row>
    <row r="4176" spans="1:8">
      <c r="A4176" s="1202" t="s">
        <v>94</v>
      </c>
      <c r="B4176" s="1203"/>
      <c r="C4176" s="1203"/>
      <c r="D4176" s="1203"/>
      <c r="E4176" s="1203"/>
      <c r="F4176" s="1203"/>
      <c r="G4176" s="1203"/>
      <c r="H4176" s="1203"/>
    </row>
    <row r="4177" spans="1:8">
      <c r="A4177" s="130" t="s">
        <v>95</v>
      </c>
      <c r="B4177" s="130" t="s">
        <v>1057</v>
      </c>
      <c r="C4177" s="130"/>
      <c r="D4177" s="130"/>
      <c r="E4177" s="130"/>
      <c r="F4177" s="130"/>
      <c r="G4177" s="130"/>
      <c r="H4177" s="130"/>
    </row>
    <row r="4178" spans="1:8">
      <c r="A4178" s="130" t="s">
        <v>96</v>
      </c>
      <c r="B4178" s="130" t="s">
        <v>1058</v>
      </c>
      <c r="C4178" s="130"/>
      <c r="D4178" s="130"/>
      <c r="E4178" s="130"/>
      <c r="F4178" s="130"/>
      <c r="G4178" s="130"/>
      <c r="H4178" s="130"/>
    </row>
    <row r="4179" spans="1:8">
      <c r="A4179" s="130" t="s">
        <v>97</v>
      </c>
      <c r="B4179" s="130" t="s">
        <v>1059</v>
      </c>
      <c r="C4179" s="130"/>
      <c r="D4179" s="130"/>
      <c r="E4179" s="130"/>
      <c r="F4179" s="130"/>
      <c r="G4179" s="130"/>
      <c r="H4179" s="130"/>
    </row>
    <row r="4180" spans="1:8">
      <c r="A4180" s="130" t="s">
        <v>98</v>
      </c>
      <c r="B4180" s="130" t="s">
        <v>1060</v>
      </c>
      <c r="C4180" s="130"/>
      <c r="D4180" s="130"/>
      <c r="E4180" s="130"/>
      <c r="F4180" s="130"/>
      <c r="G4180" s="130"/>
      <c r="H4180" s="130"/>
    </row>
    <row r="4182" spans="1:8">
      <c r="A4182" s="1251" t="s">
        <v>1061</v>
      </c>
      <c r="B4182" s="1238"/>
      <c r="C4182" s="1238"/>
      <c r="D4182" s="1238"/>
      <c r="E4182" s="1238"/>
      <c r="F4182" s="1238"/>
      <c r="G4182" s="1238"/>
      <c r="H4182" s="1238"/>
    </row>
    <row r="4183" spans="1:8">
      <c r="A4183" s="131"/>
      <c r="B4183" s="131"/>
      <c r="C4183" s="131"/>
      <c r="D4183" s="131"/>
      <c r="E4183" s="131"/>
      <c r="F4183" s="131"/>
      <c r="G4183" s="131"/>
      <c r="H4183" s="131"/>
    </row>
    <row r="4184" spans="1:8">
      <c r="A4184" s="1237" t="s">
        <v>1062</v>
      </c>
      <c r="B4184" s="1238"/>
      <c r="C4184" s="1238"/>
      <c r="D4184" s="1238"/>
      <c r="E4184" s="1238"/>
      <c r="F4184" s="1238"/>
      <c r="G4184" s="1238"/>
      <c r="H4184" s="1238"/>
    </row>
    <row r="4185" spans="1:8">
      <c r="A4185" s="1237" t="s">
        <v>1063</v>
      </c>
      <c r="B4185" s="1238"/>
      <c r="C4185" s="1238"/>
      <c r="D4185" s="1238"/>
      <c r="E4185" s="1238"/>
      <c r="F4185" s="1238"/>
      <c r="G4185" s="1238"/>
      <c r="H4185" s="1238"/>
    </row>
    <row r="4186" spans="1:8">
      <c r="A4186" s="131"/>
      <c r="B4186" s="131"/>
      <c r="C4186" s="131"/>
      <c r="D4186" s="131"/>
      <c r="E4186" s="131"/>
      <c r="F4186" s="131"/>
      <c r="G4186" s="131"/>
      <c r="H4186" s="131"/>
    </row>
    <row r="4187" spans="1:8">
      <c r="A4187" s="1238" t="s">
        <v>80</v>
      </c>
      <c r="B4187" s="1238"/>
      <c r="C4187" s="1238"/>
      <c r="D4187" s="1238"/>
      <c r="E4187" s="1238"/>
      <c r="F4187" s="1238"/>
      <c r="G4187" s="1238"/>
      <c r="H4187" s="1238"/>
    </row>
    <row r="4188" spans="1:8">
      <c r="A4188" s="131"/>
      <c r="B4188" s="131"/>
      <c r="C4188" s="131"/>
      <c r="D4188" s="131"/>
      <c r="E4188" s="131"/>
      <c r="F4188" s="131"/>
      <c r="G4188" s="131"/>
      <c r="H4188" s="131"/>
    </row>
    <row r="4189" spans="1:8">
      <c r="A4189" s="1238" t="s">
        <v>880</v>
      </c>
      <c r="B4189" s="1238"/>
      <c r="C4189" s="1238"/>
      <c r="D4189" s="1238"/>
      <c r="E4189" s="1238"/>
      <c r="F4189" s="1238"/>
      <c r="G4189" s="1238"/>
      <c r="H4189" s="1238"/>
    </row>
    <row r="4190" spans="1:8">
      <c r="A4190" s="131"/>
      <c r="B4190" s="131"/>
      <c r="C4190" s="131"/>
      <c r="D4190" s="131"/>
      <c r="E4190" s="131"/>
      <c r="F4190" s="131"/>
      <c r="G4190" s="131"/>
      <c r="H4190" s="131"/>
    </row>
    <row r="4191" spans="1:8">
      <c r="A4191" s="125" t="s">
        <v>30</v>
      </c>
      <c r="B4191" s="125" t="s">
        <v>19</v>
      </c>
      <c r="C4191" s="125" t="s">
        <v>81</v>
      </c>
      <c r="D4191" s="125" t="s">
        <v>77</v>
      </c>
      <c r="E4191" s="125" t="s">
        <v>82</v>
      </c>
      <c r="F4191" s="125" t="s">
        <v>83</v>
      </c>
      <c r="G4191" s="125" t="s">
        <v>84</v>
      </c>
      <c r="H4191" s="125" t="s">
        <v>85</v>
      </c>
    </row>
    <row r="4192" spans="1:8">
      <c r="A4192" s="131" t="s">
        <v>1064</v>
      </c>
      <c r="B4192" s="131" t="s">
        <v>392</v>
      </c>
      <c r="C4192" s="131" t="s">
        <v>87</v>
      </c>
      <c r="D4192" s="131" t="s">
        <v>4</v>
      </c>
      <c r="E4192" s="131" t="s">
        <v>426</v>
      </c>
      <c r="F4192" s="131" t="s">
        <v>1065</v>
      </c>
      <c r="G4192" s="131" t="s">
        <v>160</v>
      </c>
      <c r="H4192" s="131" t="s">
        <v>426</v>
      </c>
    </row>
    <row r="4193" spans="1:8">
      <c r="A4193" s="131" t="s">
        <v>1037</v>
      </c>
      <c r="B4193" s="131" t="s">
        <v>1038</v>
      </c>
      <c r="C4193" s="131" t="s">
        <v>108</v>
      </c>
      <c r="D4193" s="131" t="s">
        <v>105</v>
      </c>
      <c r="E4193" s="131" t="s">
        <v>1066</v>
      </c>
      <c r="F4193" s="131" t="s">
        <v>1067</v>
      </c>
      <c r="G4193" s="131" t="s">
        <v>1068</v>
      </c>
      <c r="H4193" s="131" t="s">
        <v>1066</v>
      </c>
    </row>
    <row r="4194" spans="1:8">
      <c r="A4194" s="131" t="s">
        <v>1039</v>
      </c>
      <c r="B4194" s="131" t="s">
        <v>279</v>
      </c>
      <c r="C4194" s="131" t="s">
        <v>108</v>
      </c>
      <c r="D4194" s="131" t="s">
        <v>105</v>
      </c>
      <c r="E4194" s="131" t="s">
        <v>1066</v>
      </c>
      <c r="F4194" s="131" t="s">
        <v>1069</v>
      </c>
      <c r="G4194" s="131" t="s">
        <v>649</v>
      </c>
      <c r="H4194" s="131" t="s">
        <v>1066</v>
      </c>
    </row>
    <row r="4195" spans="1:8">
      <c r="A4195" s="131"/>
      <c r="B4195" s="131"/>
      <c r="C4195" s="131"/>
      <c r="D4195" s="131"/>
      <c r="E4195" s="131"/>
      <c r="F4195" s="131" t="s">
        <v>90</v>
      </c>
      <c r="G4195" s="131" t="s">
        <v>371</v>
      </c>
      <c r="H4195" s="131"/>
    </row>
    <row r="4196" spans="1:8">
      <c r="A4196" s="131"/>
      <c r="B4196" s="131"/>
      <c r="C4196" s="131"/>
      <c r="D4196" s="131"/>
      <c r="E4196" s="131"/>
      <c r="F4196" s="131" t="s">
        <v>92</v>
      </c>
      <c r="G4196" s="131" t="s">
        <v>286</v>
      </c>
      <c r="H4196" s="131"/>
    </row>
    <row r="4197" spans="1:8">
      <c r="A4197" s="131"/>
      <c r="B4197" s="131"/>
      <c r="C4197" s="131"/>
      <c r="D4197" s="131"/>
      <c r="E4197" s="131"/>
      <c r="F4197" s="131" t="s">
        <v>93</v>
      </c>
      <c r="G4197" s="131" t="s">
        <v>838</v>
      </c>
      <c r="H4197" s="131"/>
    </row>
    <row r="4198" spans="1:8">
      <c r="A4198" s="131"/>
      <c r="B4198" s="131"/>
      <c r="C4198" s="131"/>
      <c r="D4198" s="131"/>
      <c r="E4198" s="131"/>
      <c r="F4198" s="131"/>
      <c r="G4198" s="131"/>
      <c r="H4198" s="131"/>
    </row>
    <row r="4199" spans="1:8">
      <c r="A4199" s="1237" t="s">
        <v>94</v>
      </c>
      <c r="B4199" s="1238"/>
      <c r="C4199" s="1238"/>
      <c r="D4199" s="1238"/>
      <c r="E4199" s="1238"/>
      <c r="F4199" s="1238"/>
      <c r="G4199" s="1238"/>
      <c r="H4199" s="1238"/>
    </row>
    <row r="4200" spans="1:8">
      <c r="A4200" s="131" t="s">
        <v>95</v>
      </c>
      <c r="B4200" s="131" t="s">
        <v>838</v>
      </c>
      <c r="C4200" s="131"/>
      <c r="D4200" s="131"/>
      <c r="E4200" s="131"/>
      <c r="F4200" s="131"/>
      <c r="G4200" s="131"/>
      <c r="H4200" s="131"/>
    </row>
    <row r="4201" spans="1:8">
      <c r="A4201" s="131" t="s">
        <v>96</v>
      </c>
      <c r="B4201" s="131" t="s">
        <v>164</v>
      </c>
      <c r="C4201" s="131"/>
      <c r="D4201" s="131"/>
      <c r="E4201" s="131"/>
      <c r="F4201" s="131"/>
      <c r="G4201" s="131"/>
      <c r="H4201" s="131"/>
    </row>
    <row r="4202" spans="1:8">
      <c r="A4202" s="131" t="s">
        <v>97</v>
      </c>
      <c r="B4202" s="131" t="s">
        <v>699</v>
      </c>
      <c r="C4202" s="131"/>
      <c r="D4202" s="131"/>
      <c r="E4202" s="131"/>
      <c r="F4202" s="131"/>
      <c r="G4202" s="131"/>
      <c r="H4202" s="131"/>
    </row>
    <row r="4203" spans="1:8">
      <c r="A4203" s="131" t="s">
        <v>98</v>
      </c>
      <c r="B4203" s="131" t="s">
        <v>1070</v>
      </c>
      <c r="C4203" s="131"/>
      <c r="D4203" s="131"/>
      <c r="E4203" s="131"/>
      <c r="F4203" s="131"/>
      <c r="G4203" s="131"/>
      <c r="H4203" s="131"/>
    </row>
    <row r="4205" spans="1:8">
      <c r="A4205" s="1251" t="s">
        <v>1071</v>
      </c>
      <c r="B4205" s="1238"/>
      <c r="C4205" s="1238"/>
      <c r="D4205" s="1238"/>
      <c r="E4205" s="1238"/>
      <c r="F4205" s="1238"/>
      <c r="G4205" s="1238"/>
      <c r="H4205" s="1238"/>
    </row>
    <row r="4206" spans="1:8">
      <c r="A4206" s="131"/>
      <c r="B4206" s="131"/>
      <c r="C4206" s="131"/>
      <c r="D4206" s="131"/>
      <c r="E4206" s="131"/>
      <c r="F4206" s="131"/>
      <c r="G4206" s="131"/>
      <c r="H4206" s="131"/>
    </row>
    <row r="4207" spans="1:8">
      <c r="A4207" s="1237" t="s">
        <v>1072</v>
      </c>
      <c r="B4207" s="1238"/>
      <c r="C4207" s="1238"/>
      <c r="D4207" s="1238"/>
      <c r="E4207" s="1238"/>
      <c r="F4207" s="1238"/>
      <c r="G4207" s="1238"/>
      <c r="H4207" s="1238"/>
    </row>
    <row r="4208" spans="1:8">
      <c r="A4208" s="1237" t="s">
        <v>1073</v>
      </c>
      <c r="B4208" s="1238"/>
      <c r="C4208" s="1238"/>
      <c r="D4208" s="1238"/>
      <c r="E4208" s="1238"/>
      <c r="F4208" s="1238"/>
      <c r="G4208" s="1238"/>
      <c r="H4208" s="1238"/>
    </row>
    <row r="4209" spans="1:8">
      <c r="A4209" s="131"/>
      <c r="B4209" s="131"/>
      <c r="C4209" s="131"/>
      <c r="D4209" s="131"/>
      <c r="E4209" s="131"/>
      <c r="F4209" s="131"/>
      <c r="G4209" s="131"/>
      <c r="H4209" s="131"/>
    </row>
    <row r="4210" spans="1:8">
      <c r="A4210" s="1238" t="s">
        <v>107</v>
      </c>
      <c r="B4210" s="1238"/>
      <c r="C4210" s="1238"/>
      <c r="D4210" s="1238"/>
      <c r="E4210" s="1238"/>
      <c r="F4210" s="1238"/>
      <c r="G4210" s="1238"/>
      <c r="H4210" s="1238"/>
    </row>
    <row r="4211" spans="1:8">
      <c r="A4211" s="131"/>
      <c r="B4211" s="131"/>
      <c r="C4211" s="131"/>
      <c r="D4211" s="131"/>
      <c r="E4211" s="131"/>
      <c r="F4211" s="131"/>
      <c r="G4211" s="131"/>
      <c r="H4211" s="131"/>
    </row>
    <row r="4212" spans="1:8">
      <c r="A4212" s="1238" t="s">
        <v>120</v>
      </c>
      <c r="B4212" s="1238"/>
      <c r="C4212" s="1238"/>
      <c r="D4212" s="1238"/>
      <c r="E4212" s="1238"/>
      <c r="F4212" s="1238"/>
      <c r="G4212" s="1238"/>
      <c r="H4212" s="1238"/>
    </row>
    <row r="4213" spans="1:8">
      <c r="A4213" s="131"/>
      <c r="B4213" s="131"/>
      <c r="C4213" s="131"/>
      <c r="D4213" s="131"/>
      <c r="E4213" s="131"/>
      <c r="F4213" s="131"/>
      <c r="G4213" s="131"/>
      <c r="H4213" s="131"/>
    </row>
    <row r="4214" spans="1:8">
      <c r="A4214" s="125" t="s">
        <v>30</v>
      </c>
      <c r="B4214" s="125" t="s">
        <v>19</v>
      </c>
      <c r="C4214" s="125" t="s">
        <v>81</v>
      </c>
      <c r="D4214" s="125" t="s">
        <v>77</v>
      </c>
      <c r="E4214" s="125" t="s">
        <v>82</v>
      </c>
      <c r="F4214" s="125" t="s">
        <v>83</v>
      </c>
      <c r="G4214" s="125" t="s">
        <v>84</v>
      </c>
      <c r="H4214" s="125" t="s">
        <v>85</v>
      </c>
    </row>
    <row r="4215" spans="1:8">
      <c r="A4215" s="131" t="s">
        <v>1074</v>
      </c>
      <c r="B4215" s="131" t="s">
        <v>1075</v>
      </c>
      <c r="C4215" s="131" t="s">
        <v>87</v>
      </c>
      <c r="D4215" s="131" t="s">
        <v>102</v>
      </c>
      <c r="E4215" s="131" t="s">
        <v>146</v>
      </c>
      <c r="F4215" s="131" t="s">
        <v>1076</v>
      </c>
      <c r="G4215" s="131" t="s">
        <v>1077</v>
      </c>
      <c r="H4215" s="131" t="s">
        <v>146</v>
      </c>
    </row>
    <row r="4216" spans="1:8">
      <c r="A4216" s="131" t="s">
        <v>1078</v>
      </c>
      <c r="B4216" s="131" t="s">
        <v>1079</v>
      </c>
      <c r="C4216" s="131" t="s">
        <v>87</v>
      </c>
      <c r="D4216" s="131" t="s">
        <v>5</v>
      </c>
      <c r="E4216" s="131" t="s">
        <v>272</v>
      </c>
      <c r="F4216" s="131" t="s">
        <v>1080</v>
      </c>
      <c r="G4216" s="131" t="s">
        <v>670</v>
      </c>
      <c r="H4216" s="131" t="s">
        <v>272</v>
      </c>
    </row>
    <row r="4217" spans="1:8">
      <c r="A4217" s="131" t="s">
        <v>1081</v>
      </c>
      <c r="B4217" s="131" t="s">
        <v>1082</v>
      </c>
      <c r="C4217" s="131" t="s">
        <v>87</v>
      </c>
      <c r="D4217" s="131" t="s">
        <v>5</v>
      </c>
      <c r="E4217" s="131" t="s">
        <v>101</v>
      </c>
      <c r="F4217" s="131" t="s">
        <v>314</v>
      </c>
      <c r="G4217" s="131" t="s">
        <v>314</v>
      </c>
      <c r="H4217" s="131" t="s">
        <v>101</v>
      </c>
    </row>
    <row r="4218" spans="1:8">
      <c r="A4218" s="131" t="s">
        <v>1083</v>
      </c>
      <c r="B4218" s="131" t="s">
        <v>1084</v>
      </c>
      <c r="C4218" s="131" t="s">
        <v>87</v>
      </c>
      <c r="D4218" s="131" t="s">
        <v>5</v>
      </c>
      <c r="E4218" s="131" t="s">
        <v>336</v>
      </c>
      <c r="F4218" s="131" t="s">
        <v>1085</v>
      </c>
      <c r="G4218" s="131" t="s">
        <v>394</v>
      </c>
      <c r="H4218" s="131" t="s">
        <v>336</v>
      </c>
    </row>
    <row r="4219" spans="1:8">
      <c r="A4219" s="131" t="s">
        <v>1086</v>
      </c>
      <c r="B4219" s="131" t="s">
        <v>1087</v>
      </c>
      <c r="C4219" s="131" t="s">
        <v>87</v>
      </c>
      <c r="D4219" s="131" t="s">
        <v>5</v>
      </c>
      <c r="E4219" s="131" t="s">
        <v>129</v>
      </c>
      <c r="F4219" s="131" t="s">
        <v>1085</v>
      </c>
      <c r="G4219" s="131" t="s">
        <v>1088</v>
      </c>
      <c r="H4219" s="131" t="s">
        <v>129</v>
      </c>
    </row>
    <row r="4220" spans="1:8">
      <c r="A4220" s="131" t="s">
        <v>1089</v>
      </c>
      <c r="B4220" s="131" t="s">
        <v>1090</v>
      </c>
      <c r="C4220" s="131" t="s">
        <v>104</v>
      </c>
      <c r="D4220" s="131" t="s">
        <v>105</v>
      </c>
      <c r="E4220" s="131" t="s">
        <v>1091</v>
      </c>
      <c r="F4220" s="131" t="s">
        <v>1092</v>
      </c>
      <c r="G4220" s="131" t="s">
        <v>809</v>
      </c>
      <c r="H4220" s="131" t="s">
        <v>1091</v>
      </c>
    </row>
    <row r="4221" spans="1:8">
      <c r="A4221" s="131"/>
      <c r="B4221" s="131"/>
      <c r="C4221" s="131"/>
      <c r="D4221" s="131"/>
      <c r="E4221" s="131"/>
      <c r="F4221" s="131" t="s">
        <v>90</v>
      </c>
      <c r="G4221" s="131" t="s">
        <v>809</v>
      </c>
      <c r="H4221" s="131"/>
    </row>
    <row r="4222" spans="1:8">
      <c r="A4222" s="131"/>
      <c r="B4222" s="131"/>
      <c r="C4222" s="131"/>
      <c r="D4222" s="131"/>
      <c r="E4222" s="131"/>
      <c r="F4222" s="131" t="s">
        <v>92</v>
      </c>
      <c r="G4222" s="131" t="s">
        <v>1093</v>
      </c>
      <c r="H4222" s="131"/>
    </row>
    <row r="4223" spans="1:8">
      <c r="A4223" s="131"/>
      <c r="B4223" s="131"/>
      <c r="C4223" s="131"/>
      <c r="D4223" s="131"/>
      <c r="E4223" s="131"/>
      <c r="F4223" s="131" t="s">
        <v>93</v>
      </c>
      <c r="G4223" s="131" t="s">
        <v>1094</v>
      </c>
      <c r="H4223" s="131"/>
    </row>
    <row r="4224" spans="1:8">
      <c r="A4224" s="131"/>
      <c r="B4224" s="131"/>
      <c r="C4224" s="131"/>
      <c r="D4224" s="131"/>
      <c r="E4224" s="131"/>
      <c r="F4224" s="131"/>
      <c r="G4224" s="131"/>
      <c r="H4224" s="131"/>
    </row>
    <row r="4225" spans="1:8">
      <c r="A4225" s="1237" t="s">
        <v>94</v>
      </c>
      <c r="B4225" s="1238"/>
      <c r="C4225" s="1238"/>
      <c r="D4225" s="1238"/>
      <c r="E4225" s="1238"/>
      <c r="F4225" s="1238"/>
      <c r="G4225" s="1238"/>
      <c r="H4225" s="1238"/>
    </row>
    <row r="4226" spans="1:8">
      <c r="A4226" s="131" t="s">
        <v>95</v>
      </c>
      <c r="B4226" s="131" t="s">
        <v>1094</v>
      </c>
      <c r="C4226" s="131"/>
      <c r="D4226" s="131"/>
      <c r="E4226" s="131"/>
      <c r="F4226" s="131"/>
      <c r="G4226" s="131"/>
      <c r="H4226" s="131"/>
    </row>
    <row r="4227" spans="1:8">
      <c r="A4227" s="131" t="s">
        <v>96</v>
      </c>
      <c r="B4227" s="131" t="s">
        <v>812</v>
      </c>
      <c r="C4227" s="131"/>
      <c r="D4227" s="131"/>
      <c r="E4227" s="131"/>
      <c r="F4227" s="131"/>
      <c r="G4227" s="131"/>
      <c r="H4227" s="131"/>
    </row>
    <row r="4228" spans="1:8">
      <c r="A4228" s="131" t="s">
        <v>97</v>
      </c>
      <c r="B4228" s="131" t="s">
        <v>1095</v>
      </c>
      <c r="C4228" s="131"/>
      <c r="D4228" s="131"/>
      <c r="E4228" s="131"/>
      <c r="F4228" s="131"/>
      <c r="G4228" s="131"/>
      <c r="H4228" s="131"/>
    </row>
    <row r="4229" spans="1:8">
      <c r="A4229" s="131" t="s">
        <v>98</v>
      </c>
      <c r="B4229" s="131" t="s">
        <v>1096</v>
      </c>
      <c r="C4229" s="131"/>
      <c r="D4229" s="131"/>
      <c r="E4229" s="131"/>
      <c r="F4229" s="131"/>
      <c r="G4229" s="131"/>
      <c r="H4229" s="131"/>
    </row>
    <row r="4231" spans="1:8">
      <c r="A4231" s="1251" t="s">
        <v>1061</v>
      </c>
      <c r="B4231" s="1238"/>
      <c r="C4231" s="1238"/>
      <c r="D4231" s="1238"/>
      <c r="E4231" s="1238"/>
      <c r="F4231" s="1238"/>
      <c r="G4231" s="1238"/>
      <c r="H4231" s="1238"/>
    </row>
    <row r="4232" spans="1:8">
      <c r="A4232" s="131"/>
      <c r="B4232" s="131"/>
      <c r="C4232" s="131"/>
      <c r="D4232" s="131"/>
      <c r="E4232" s="131"/>
      <c r="F4232" s="131"/>
      <c r="G4232" s="131"/>
      <c r="H4232" s="131"/>
    </row>
    <row r="4233" spans="1:8">
      <c r="A4233" s="1237" t="s">
        <v>1100</v>
      </c>
      <c r="B4233" s="1238"/>
      <c r="C4233" s="1238"/>
      <c r="D4233" s="1238"/>
      <c r="E4233" s="1238"/>
      <c r="F4233" s="1238"/>
      <c r="G4233" s="1238"/>
      <c r="H4233" s="1238"/>
    </row>
    <row r="4234" spans="1:8">
      <c r="A4234" s="1237" t="s">
        <v>1101</v>
      </c>
      <c r="B4234" s="1238"/>
      <c r="C4234" s="1238"/>
      <c r="D4234" s="1238"/>
      <c r="E4234" s="1238"/>
      <c r="F4234" s="1238"/>
      <c r="G4234" s="1238"/>
      <c r="H4234" s="1238"/>
    </row>
    <row r="4235" spans="1:8">
      <c r="A4235" s="131"/>
      <c r="B4235" s="131"/>
      <c r="C4235" s="131"/>
      <c r="D4235" s="131"/>
      <c r="E4235" s="131"/>
      <c r="F4235" s="131"/>
      <c r="G4235" s="131"/>
      <c r="H4235" s="131"/>
    </row>
    <row r="4236" spans="1:8">
      <c r="A4236" s="1238" t="s">
        <v>80</v>
      </c>
      <c r="B4236" s="1238"/>
      <c r="C4236" s="1238"/>
      <c r="D4236" s="1238"/>
      <c r="E4236" s="1238"/>
      <c r="F4236" s="1238"/>
      <c r="G4236" s="1238"/>
      <c r="H4236" s="1238"/>
    </row>
    <row r="4237" spans="1:8">
      <c r="A4237" s="131"/>
      <c r="B4237" s="131"/>
      <c r="C4237" s="131"/>
      <c r="D4237" s="131"/>
      <c r="E4237" s="131"/>
      <c r="F4237" s="131"/>
      <c r="G4237" s="131"/>
      <c r="H4237" s="131"/>
    </row>
    <row r="4238" spans="1:8">
      <c r="A4238" s="1238" t="s">
        <v>120</v>
      </c>
      <c r="B4238" s="1238"/>
      <c r="C4238" s="1238"/>
      <c r="D4238" s="1238"/>
      <c r="E4238" s="1238"/>
      <c r="F4238" s="1238"/>
      <c r="G4238" s="1238"/>
      <c r="H4238" s="1238"/>
    </row>
    <row r="4239" spans="1:8">
      <c r="A4239" s="131"/>
      <c r="B4239" s="131"/>
      <c r="C4239" s="131"/>
      <c r="D4239" s="131"/>
      <c r="E4239" s="131"/>
      <c r="F4239" s="131"/>
      <c r="G4239" s="131"/>
      <c r="H4239" s="131"/>
    </row>
    <row r="4240" spans="1:8">
      <c r="A4240" s="125" t="s">
        <v>30</v>
      </c>
      <c r="B4240" s="125" t="s">
        <v>19</v>
      </c>
      <c r="C4240" s="125" t="s">
        <v>81</v>
      </c>
      <c r="D4240" s="125" t="s">
        <v>77</v>
      </c>
      <c r="E4240" s="125" t="s">
        <v>82</v>
      </c>
      <c r="F4240" s="125" t="s">
        <v>83</v>
      </c>
      <c r="G4240" s="125" t="s">
        <v>84</v>
      </c>
      <c r="H4240" s="125" t="s">
        <v>85</v>
      </c>
    </row>
    <row r="4241" spans="1:8">
      <c r="A4241" s="131" t="s">
        <v>1102</v>
      </c>
      <c r="B4241" s="131" t="s">
        <v>1103</v>
      </c>
      <c r="C4241" s="131" t="s">
        <v>87</v>
      </c>
      <c r="D4241" s="131" t="s">
        <v>5</v>
      </c>
      <c r="E4241" s="131" t="s">
        <v>101</v>
      </c>
      <c r="F4241" s="131" t="s">
        <v>1104</v>
      </c>
      <c r="G4241" s="131" t="s">
        <v>1104</v>
      </c>
      <c r="H4241" s="131" t="s">
        <v>101</v>
      </c>
    </row>
    <row r="4242" spans="1:8">
      <c r="A4242" s="131" t="s">
        <v>1037</v>
      </c>
      <c r="B4242" s="131" t="s">
        <v>1038</v>
      </c>
      <c r="C4242" s="131" t="s">
        <v>108</v>
      </c>
      <c r="D4242" s="131" t="s">
        <v>105</v>
      </c>
      <c r="E4242" s="131" t="s">
        <v>475</v>
      </c>
      <c r="F4242" s="131" t="s">
        <v>1067</v>
      </c>
      <c r="G4242" s="131" t="s">
        <v>1105</v>
      </c>
      <c r="H4242" s="131" t="s">
        <v>475</v>
      </c>
    </row>
    <row r="4243" spans="1:8">
      <c r="A4243" s="131" t="s">
        <v>1039</v>
      </c>
      <c r="B4243" s="131" t="s">
        <v>279</v>
      </c>
      <c r="C4243" s="131" t="s">
        <v>108</v>
      </c>
      <c r="D4243" s="131" t="s">
        <v>105</v>
      </c>
      <c r="E4243" s="131" t="s">
        <v>475</v>
      </c>
      <c r="F4243" s="131" t="s">
        <v>1069</v>
      </c>
      <c r="G4243" s="131" t="s">
        <v>522</v>
      </c>
      <c r="H4243" s="131" t="s">
        <v>475</v>
      </c>
    </row>
    <row r="4244" spans="1:8">
      <c r="A4244" s="131"/>
      <c r="B4244" s="131"/>
      <c r="C4244" s="131"/>
      <c r="D4244" s="131"/>
      <c r="E4244" s="131"/>
      <c r="F4244" s="131" t="s">
        <v>90</v>
      </c>
      <c r="G4244" s="131" t="s">
        <v>1106</v>
      </c>
      <c r="H4244" s="131"/>
    </row>
    <row r="4245" spans="1:8">
      <c r="A4245" s="131"/>
      <c r="B4245" s="131"/>
      <c r="C4245" s="131"/>
      <c r="D4245" s="131"/>
      <c r="E4245" s="131"/>
      <c r="F4245" s="131" t="s">
        <v>92</v>
      </c>
      <c r="G4245" s="131" t="s">
        <v>1107</v>
      </c>
      <c r="H4245" s="131"/>
    </row>
    <row r="4246" spans="1:8">
      <c r="A4246" s="131"/>
      <c r="B4246" s="131"/>
      <c r="C4246" s="131"/>
      <c r="D4246" s="131"/>
      <c r="E4246" s="131"/>
      <c r="F4246" s="131" t="s">
        <v>93</v>
      </c>
      <c r="G4246" s="131" t="s">
        <v>1108</v>
      </c>
      <c r="H4246" s="131"/>
    </row>
    <row r="4247" spans="1:8">
      <c r="A4247" s="131"/>
      <c r="B4247" s="131"/>
      <c r="C4247" s="131"/>
      <c r="D4247" s="131"/>
      <c r="E4247" s="131"/>
      <c r="F4247" s="131"/>
      <c r="G4247" s="131"/>
      <c r="H4247" s="131"/>
    </row>
    <row r="4248" spans="1:8">
      <c r="A4248" s="1237" t="s">
        <v>94</v>
      </c>
      <c r="B4248" s="1238"/>
      <c r="C4248" s="1238"/>
      <c r="D4248" s="1238"/>
      <c r="E4248" s="1238"/>
      <c r="F4248" s="1238"/>
      <c r="G4248" s="1238"/>
      <c r="H4248" s="1238"/>
    </row>
    <row r="4249" spans="1:8">
      <c r="A4249" s="131" t="s">
        <v>95</v>
      </c>
      <c r="B4249" s="131" t="s">
        <v>1108</v>
      </c>
      <c r="C4249" s="131"/>
      <c r="D4249" s="131"/>
      <c r="E4249" s="131"/>
      <c r="F4249" s="131"/>
      <c r="G4249" s="131"/>
      <c r="H4249" s="131"/>
    </row>
    <row r="4250" spans="1:8">
      <c r="A4250" s="131" t="s">
        <v>96</v>
      </c>
      <c r="B4250" s="131" t="s">
        <v>1109</v>
      </c>
      <c r="C4250" s="131"/>
      <c r="D4250" s="131"/>
      <c r="E4250" s="131"/>
      <c r="F4250" s="131"/>
      <c r="G4250" s="131"/>
      <c r="H4250" s="131"/>
    </row>
    <row r="4251" spans="1:8">
      <c r="A4251" s="131" t="s">
        <v>97</v>
      </c>
      <c r="B4251" s="131" t="s">
        <v>1110</v>
      </c>
      <c r="C4251" s="131"/>
      <c r="D4251" s="131"/>
      <c r="E4251" s="131"/>
      <c r="F4251" s="131"/>
      <c r="G4251" s="131"/>
      <c r="H4251" s="131"/>
    </row>
    <row r="4252" spans="1:8">
      <c r="A4252" s="131" t="s">
        <v>98</v>
      </c>
      <c r="B4252" s="131" t="s">
        <v>1111</v>
      </c>
      <c r="C4252" s="131"/>
      <c r="D4252" s="131"/>
      <c r="E4252" s="131"/>
      <c r="F4252" s="131"/>
      <c r="G4252" s="131"/>
      <c r="H4252" s="131"/>
    </row>
    <row r="4255" spans="1:8">
      <c r="A4255" s="1251" t="s">
        <v>1112</v>
      </c>
      <c r="B4255" s="1238"/>
      <c r="C4255" s="1238"/>
      <c r="D4255" s="1238"/>
      <c r="E4255" s="1238"/>
      <c r="F4255" s="1238"/>
      <c r="G4255" s="1238"/>
    </row>
    <row r="4256" spans="1:8">
      <c r="A4256" s="131"/>
      <c r="B4256" s="131"/>
      <c r="C4256" s="131"/>
      <c r="D4256" s="131"/>
      <c r="E4256" s="131"/>
      <c r="F4256" s="131"/>
      <c r="G4256" s="131"/>
    </row>
    <row r="4257" spans="1:7">
      <c r="A4257" s="1237" t="s">
        <v>1113</v>
      </c>
      <c r="B4257" s="1238"/>
      <c r="C4257" s="1238"/>
      <c r="D4257" s="1238"/>
      <c r="E4257" s="1238"/>
      <c r="F4257" s="1238"/>
      <c r="G4257" s="1238"/>
    </row>
    <row r="4258" spans="1:7">
      <c r="A4258" s="1237" t="s">
        <v>723</v>
      </c>
      <c r="B4258" s="1238"/>
      <c r="C4258" s="1238"/>
      <c r="D4258" s="1238"/>
      <c r="E4258" s="1238"/>
      <c r="F4258" s="1238"/>
      <c r="G4258" s="1238"/>
    </row>
    <row r="4259" spans="1:7">
      <c r="A4259" s="131"/>
      <c r="B4259" s="131"/>
      <c r="C4259" s="131"/>
      <c r="D4259" s="131"/>
      <c r="E4259" s="131"/>
      <c r="F4259" s="131"/>
      <c r="G4259" s="131"/>
    </row>
    <row r="4260" spans="1:7">
      <c r="A4260" s="1238" t="s">
        <v>504</v>
      </c>
      <c r="B4260" s="1238"/>
      <c r="C4260" s="1238"/>
      <c r="D4260" s="1238"/>
      <c r="E4260" s="1238"/>
      <c r="F4260" s="1238"/>
      <c r="G4260" s="1238"/>
    </row>
    <row r="4261" spans="1:7">
      <c r="A4261" s="131"/>
      <c r="B4261" s="131"/>
      <c r="C4261" s="131"/>
      <c r="D4261" s="131"/>
      <c r="E4261" s="131"/>
      <c r="F4261" s="131"/>
      <c r="G4261" s="131"/>
    </row>
    <row r="4262" spans="1:7">
      <c r="A4262" s="1238" t="s">
        <v>687</v>
      </c>
      <c r="B4262" s="1238"/>
      <c r="C4262" s="1238"/>
      <c r="D4262" s="1238"/>
      <c r="E4262" s="1238"/>
      <c r="F4262" s="1238"/>
      <c r="G4262" s="1238"/>
    </row>
    <row r="4263" spans="1:7">
      <c r="A4263" s="131"/>
      <c r="B4263" s="131"/>
      <c r="C4263" s="131"/>
      <c r="D4263" s="131"/>
      <c r="E4263" s="131"/>
      <c r="F4263" s="131"/>
      <c r="G4263" s="131"/>
    </row>
    <row r="4264" spans="1:7">
      <c r="A4264" s="125" t="s">
        <v>30</v>
      </c>
      <c r="B4264" s="125" t="s">
        <v>19</v>
      </c>
      <c r="C4264" s="125" t="s">
        <v>81</v>
      </c>
      <c r="D4264" s="125" t="s">
        <v>77</v>
      </c>
      <c r="E4264" s="125" t="s">
        <v>82</v>
      </c>
      <c r="F4264" s="125" t="s">
        <v>83</v>
      </c>
      <c r="G4264" s="125" t="s">
        <v>84</v>
      </c>
    </row>
    <row r="4265" spans="1:7">
      <c r="A4265" s="131" t="s">
        <v>688</v>
      </c>
      <c r="B4265" s="131" t="s">
        <v>689</v>
      </c>
      <c r="C4265" s="131" t="s">
        <v>108</v>
      </c>
      <c r="D4265" s="131" t="s">
        <v>112</v>
      </c>
      <c r="E4265" s="155" t="s">
        <v>690</v>
      </c>
      <c r="F4265" s="156" t="s">
        <v>691</v>
      </c>
      <c r="G4265" s="156">
        <f>E4265*F4265</f>
        <v>0.78922199999999998</v>
      </c>
    </row>
    <row r="4266" spans="1:7">
      <c r="A4266" s="131" t="s">
        <v>692</v>
      </c>
      <c r="B4266" s="131" t="s">
        <v>1114</v>
      </c>
      <c r="C4266" s="131" t="s">
        <v>87</v>
      </c>
      <c r="D4266" s="131" t="s">
        <v>100</v>
      </c>
      <c r="E4266" s="155" t="s">
        <v>693</v>
      </c>
      <c r="F4266" s="156">
        <v>586</v>
      </c>
      <c r="G4266" s="156">
        <f t="shared" ref="G4266:G4273" si="150">E4266*F4266</f>
        <v>773.52</v>
      </c>
    </row>
    <row r="4267" spans="1:7">
      <c r="A4267" s="131" t="s">
        <v>724</v>
      </c>
      <c r="B4267" s="157" t="s">
        <v>1115</v>
      </c>
      <c r="C4267" s="131" t="s">
        <v>87</v>
      </c>
      <c r="D4267" s="131" t="s">
        <v>5</v>
      </c>
      <c r="E4267" s="155" t="s">
        <v>101</v>
      </c>
      <c r="F4267" s="156">
        <v>186</v>
      </c>
      <c r="G4267" s="156">
        <f t="shared" si="150"/>
        <v>186</v>
      </c>
    </row>
    <row r="4268" spans="1:7">
      <c r="A4268" s="131" t="s">
        <v>697</v>
      </c>
      <c r="B4268" s="131" t="s">
        <v>698</v>
      </c>
      <c r="C4268" s="131" t="s">
        <v>87</v>
      </c>
      <c r="D4268" s="131" t="s">
        <v>102</v>
      </c>
      <c r="E4268" s="155" t="s">
        <v>313</v>
      </c>
      <c r="F4268" s="156" t="s">
        <v>699</v>
      </c>
      <c r="G4268" s="156">
        <f t="shared" si="150"/>
        <v>3.1559999999999997</v>
      </c>
    </row>
    <row r="4269" spans="1:7">
      <c r="A4269" s="131" t="s">
        <v>700</v>
      </c>
      <c r="B4269" s="131" t="s">
        <v>701</v>
      </c>
      <c r="C4269" s="131" t="s">
        <v>87</v>
      </c>
      <c r="D4269" s="131" t="s">
        <v>5</v>
      </c>
      <c r="E4269" s="155" t="s">
        <v>101</v>
      </c>
      <c r="F4269" s="156">
        <v>155</v>
      </c>
      <c r="G4269" s="156">
        <f t="shared" si="150"/>
        <v>155</v>
      </c>
    </row>
    <row r="4270" spans="1:7">
      <c r="A4270" s="131" t="s">
        <v>703</v>
      </c>
      <c r="B4270" s="131" t="s">
        <v>704</v>
      </c>
      <c r="C4270" s="131" t="s">
        <v>87</v>
      </c>
      <c r="D4270" s="131" t="s">
        <v>5</v>
      </c>
      <c r="E4270" s="155" t="s">
        <v>101</v>
      </c>
      <c r="F4270" s="156" t="s">
        <v>159</v>
      </c>
      <c r="G4270" s="156">
        <f t="shared" si="150"/>
        <v>28.73</v>
      </c>
    </row>
    <row r="4271" spans="1:7">
      <c r="A4271" s="131" t="s">
        <v>705</v>
      </c>
      <c r="B4271" s="131" t="s">
        <v>706</v>
      </c>
      <c r="C4271" s="131" t="s">
        <v>104</v>
      </c>
      <c r="D4271" s="131" t="s">
        <v>105</v>
      </c>
      <c r="E4271" s="155" t="s">
        <v>227</v>
      </c>
      <c r="F4271" s="156" t="s">
        <v>506</v>
      </c>
      <c r="G4271" s="156">
        <f t="shared" si="150"/>
        <v>9.7349999999999994</v>
      </c>
    </row>
    <row r="4272" spans="1:7">
      <c r="A4272" s="131" t="s">
        <v>505</v>
      </c>
      <c r="B4272" s="131" t="s">
        <v>130</v>
      </c>
      <c r="C4272" s="131" t="s">
        <v>104</v>
      </c>
      <c r="D4272" s="131" t="s">
        <v>105</v>
      </c>
      <c r="E4272" s="155" t="s">
        <v>162</v>
      </c>
      <c r="F4272" s="156" t="s">
        <v>506</v>
      </c>
      <c r="G4272" s="156">
        <f t="shared" si="150"/>
        <v>9.0860000000000003</v>
      </c>
    </row>
    <row r="4273" spans="1:7">
      <c r="A4273" s="131" t="s">
        <v>507</v>
      </c>
      <c r="B4273" s="131" t="s">
        <v>103</v>
      </c>
      <c r="C4273" s="131" t="s">
        <v>104</v>
      </c>
      <c r="D4273" s="131" t="s">
        <v>105</v>
      </c>
      <c r="E4273" s="155" t="s">
        <v>707</v>
      </c>
      <c r="F4273" s="156" t="s">
        <v>508</v>
      </c>
      <c r="G4273" s="156">
        <f t="shared" si="150"/>
        <v>12.818</v>
      </c>
    </row>
    <row r="4274" spans="1:7">
      <c r="A4274" s="131"/>
      <c r="B4274" s="131"/>
      <c r="C4274" s="131"/>
      <c r="D4274" s="131"/>
      <c r="E4274" s="131"/>
      <c r="F4274" s="131" t="s">
        <v>90</v>
      </c>
      <c r="G4274" s="156">
        <f>SUM(G4271:G4273)</f>
        <v>31.638999999999996</v>
      </c>
    </row>
    <row r="4275" spans="1:7">
      <c r="A4275" s="131"/>
      <c r="B4275" s="131"/>
      <c r="C4275" s="131"/>
      <c r="D4275" s="131"/>
      <c r="E4275" s="131"/>
      <c r="F4275" s="131" t="s">
        <v>92</v>
      </c>
      <c r="G4275" s="156">
        <f>SUM(G4265:G4271)</f>
        <v>1156.9302219999997</v>
      </c>
    </row>
    <row r="4276" spans="1:7">
      <c r="A4276" s="131"/>
      <c r="B4276" s="131"/>
      <c r="C4276" s="131"/>
      <c r="D4276" s="131"/>
      <c r="E4276" s="131"/>
      <c r="F4276" s="131" t="s">
        <v>93</v>
      </c>
      <c r="G4276" s="156">
        <f>G4275+G4274</f>
        <v>1188.5692219999996</v>
      </c>
    </row>
    <row r="4277" spans="1:7">
      <c r="A4277" s="131"/>
      <c r="B4277" s="131"/>
      <c r="C4277" s="131"/>
      <c r="D4277" s="131"/>
      <c r="E4277" s="131"/>
      <c r="F4277" s="131"/>
      <c r="G4277" s="131"/>
    </row>
    <row r="4278" spans="1:7">
      <c r="A4278" s="1237" t="s">
        <v>94</v>
      </c>
      <c r="B4278" s="1238"/>
      <c r="C4278" s="1238"/>
      <c r="D4278" s="1238"/>
      <c r="E4278" s="1238"/>
      <c r="F4278" s="1238"/>
      <c r="G4278" s="1238"/>
    </row>
    <row r="4279" spans="1:7">
      <c r="A4279" s="131" t="s">
        <v>95</v>
      </c>
      <c r="B4279" s="158">
        <f>G4276</f>
        <v>1188.5692219999996</v>
      </c>
      <c r="C4279" s="131"/>
      <c r="D4279" s="131"/>
      <c r="E4279" s="131"/>
      <c r="F4279" s="131"/>
      <c r="G4279" s="131"/>
    </row>
    <row r="4280" spans="1:7">
      <c r="A4280" s="131" t="s">
        <v>96</v>
      </c>
      <c r="B4280" s="158">
        <f>G4274*0.7237</f>
        <v>22.897144299999997</v>
      </c>
      <c r="C4280" s="131"/>
      <c r="D4280" s="131"/>
      <c r="E4280" s="131"/>
      <c r="F4280" s="131"/>
      <c r="G4280" s="131"/>
    </row>
    <row r="4281" spans="1:7">
      <c r="A4281" s="131" t="s">
        <v>97</v>
      </c>
      <c r="B4281" s="140">
        <f>(B4279+B4280)*0.2457</f>
        <v>297.65728619990995</v>
      </c>
      <c r="C4281" s="131"/>
      <c r="D4281" s="131"/>
      <c r="E4281" s="131"/>
      <c r="F4281" s="131"/>
      <c r="G4281" s="131"/>
    </row>
    <row r="4282" spans="1:7">
      <c r="A4282" s="131" t="s">
        <v>98</v>
      </c>
      <c r="B4282" s="158">
        <f>SUM(B4279:B4281)</f>
        <v>1509.1236524999097</v>
      </c>
      <c r="C4282" s="131"/>
      <c r="D4282" s="131"/>
      <c r="E4282" s="131"/>
      <c r="F4282" s="131"/>
      <c r="G4282" s="131"/>
    </row>
  </sheetData>
  <mergeCells count="1994">
    <mergeCell ref="B1930:C1930"/>
    <mergeCell ref="A1932:A1933"/>
    <mergeCell ref="B1932:B1933"/>
    <mergeCell ref="D1932:D1933"/>
    <mergeCell ref="E1932:E1933"/>
    <mergeCell ref="A1934:A1935"/>
    <mergeCell ref="B1934:B1935"/>
    <mergeCell ref="D1934:D1935"/>
    <mergeCell ref="E1934:E1935"/>
    <mergeCell ref="A1911:A1912"/>
    <mergeCell ref="B1911:B1912"/>
    <mergeCell ref="D1911:D1912"/>
    <mergeCell ref="E1911:E1912"/>
    <mergeCell ref="A377:A378"/>
    <mergeCell ref="B377:B378"/>
    <mergeCell ref="D377:D378"/>
    <mergeCell ref="E377:E378"/>
    <mergeCell ref="A379:A380"/>
    <mergeCell ref="B379:B380"/>
    <mergeCell ref="D379:D380"/>
    <mergeCell ref="E379:E380"/>
    <mergeCell ref="A381:A382"/>
    <mergeCell ref="B381:B382"/>
    <mergeCell ref="D381:D382"/>
    <mergeCell ref="E381:E382"/>
    <mergeCell ref="D383:D384"/>
    <mergeCell ref="E383:E384"/>
    <mergeCell ref="B1907:C1907"/>
    <mergeCell ref="A1909:A1910"/>
    <mergeCell ref="B1909:B1910"/>
    <mergeCell ref="D1909:D1910"/>
    <mergeCell ref="E1909:E1910"/>
    <mergeCell ref="A1045:A1046"/>
    <mergeCell ref="B1045:B1046"/>
    <mergeCell ref="D1045:D1046"/>
    <mergeCell ref="E1045:E1046"/>
    <mergeCell ref="A1117:A1118"/>
    <mergeCell ref="B1117:B1118"/>
    <mergeCell ref="D1117:D1118"/>
    <mergeCell ref="E1117:E1118"/>
    <mergeCell ref="A1119:A1120"/>
    <mergeCell ref="E1083:E1084"/>
    <mergeCell ref="A1085:A1086"/>
    <mergeCell ref="B1085:B1086"/>
    <mergeCell ref="D1085:D1086"/>
    <mergeCell ref="E1085:E1086"/>
    <mergeCell ref="D367:D368"/>
    <mergeCell ref="E367:E368"/>
    <mergeCell ref="A369:A370"/>
    <mergeCell ref="B369:B370"/>
    <mergeCell ref="D369:D370"/>
    <mergeCell ref="E369:E370"/>
    <mergeCell ref="A371:A372"/>
    <mergeCell ref="B371:B372"/>
    <mergeCell ref="D371:D372"/>
    <mergeCell ref="E371:E372"/>
    <mergeCell ref="A373:A374"/>
    <mergeCell ref="B373:B374"/>
    <mergeCell ref="D373:D374"/>
    <mergeCell ref="E373:E374"/>
    <mergeCell ref="A375:A376"/>
    <mergeCell ref="B375:B376"/>
    <mergeCell ref="D375:D376"/>
    <mergeCell ref="E375:E376"/>
    <mergeCell ref="A1043:A1044"/>
    <mergeCell ref="B1043:B1044"/>
    <mergeCell ref="D1043:D1044"/>
    <mergeCell ref="E1043:E1044"/>
    <mergeCell ref="A975:A976"/>
    <mergeCell ref="B975:B976"/>
    <mergeCell ref="D975:D976"/>
    <mergeCell ref="E975:E976"/>
    <mergeCell ref="A992:A993"/>
    <mergeCell ref="B992:B993"/>
    <mergeCell ref="D992:D993"/>
    <mergeCell ref="E992:E993"/>
    <mergeCell ref="A994:A995"/>
    <mergeCell ref="B994:B995"/>
    <mergeCell ref="D994:D995"/>
    <mergeCell ref="E994:E995"/>
    <mergeCell ref="E909:E910"/>
    <mergeCell ref="A911:A912"/>
    <mergeCell ref="B911:B912"/>
    <mergeCell ref="D911:D912"/>
    <mergeCell ref="E911:E912"/>
    <mergeCell ref="D930:D931"/>
    <mergeCell ref="E930:E931"/>
    <mergeCell ref="A932:A933"/>
    <mergeCell ref="A909:A910"/>
    <mergeCell ref="B909:B910"/>
    <mergeCell ref="D909:D910"/>
    <mergeCell ref="A953:A954"/>
    <mergeCell ref="D932:D933"/>
    <mergeCell ref="E932:E933"/>
    <mergeCell ref="B932:B933"/>
    <mergeCell ref="B930:B931"/>
    <mergeCell ref="A845:A846"/>
    <mergeCell ref="B845:B846"/>
    <mergeCell ref="D845:D846"/>
    <mergeCell ref="E845:E846"/>
    <mergeCell ref="A847:A848"/>
    <mergeCell ref="B847:B848"/>
    <mergeCell ref="D847:D848"/>
    <mergeCell ref="E847:E848"/>
    <mergeCell ref="A973:A974"/>
    <mergeCell ref="B973:B974"/>
    <mergeCell ref="D973:D974"/>
    <mergeCell ref="E973:E974"/>
    <mergeCell ref="A7:A8"/>
    <mergeCell ref="B7:B8"/>
    <mergeCell ref="D7:D8"/>
    <mergeCell ref="E7:E8"/>
    <mergeCell ref="A15:A16"/>
    <mergeCell ref="B15:B16"/>
    <mergeCell ref="D15:D16"/>
    <mergeCell ref="E15:E16"/>
    <mergeCell ref="B9:B10"/>
    <mergeCell ref="B11:B12"/>
    <mergeCell ref="B13:B14"/>
    <mergeCell ref="A13:A14"/>
    <mergeCell ref="D13:D14"/>
    <mergeCell ref="A9:A10"/>
    <mergeCell ref="D9:D10"/>
    <mergeCell ref="E9:E10"/>
    <mergeCell ref="E11:E12"/>
    <mergeCell ref="E13:E14"/>
    <mergeCell ref="A11:A12"/>
    <mergeCell ref="A267:A268"/>
    <mergeCell ref="A2788:A2789"/>
    <mergeCell ref="B2788:B2789"/>
    <mergeCell ref="D2788:D2789"/>
    <mergeCell ref="E2788:E2789"/>
    <mergeCell ref="E2211:E2212"/>
    <mergeCell ref="B2203:D2203"/>
    <mergeCell ref="A1875:A1876"/>
    <mergeCell ref="D2246:D2247"/>
    <mergeCell ref="D2238:D2239"/>
    <mergeCell ref="B2221:B2222"/>
    <mergeCell ref="D2242:D2243"/>
    <mergeCell ref="A2219:A2220"/>
    <mergeCell ref="A2273:A2274"/>
    <mergeCell ref="B2273:B2274"/>
    <mergeCell ref="B2209:B2210"/>
    <mergeCell ref="A2209:A2210"/>
    <mergeCell ref="D2209:D2210"/>
    <mergeCell ref="A2215:A2216"/>
    <mergeCell ref="A2221:A2222"/>
    <mergeCell ref="B2548:B2549"/>
    <mergeCell ref="D2548:D2549"/>
    <mergeCell ref="E2548:E2549"/>
    <mergeCell ref="D1951:D1952"/>
    <mergeCell ref="D2213:D2214"/>
    <mergeCell ref="E2213:E2214"/>
    <mergeCell ref="B2211:B2212"/>
    <mergeCell ref="A2211:A2212"/>
    <mergeCell ref="D2211:D2212"/>
    <mergeCell ref="E1951:E1952"/>
    <mergeCell ref="A1891:A1892"/>
    <mergeCell ref="B1891:B1892"/>
    <mergeCell ref="D1891:D1892"/>
    <mergeCell ref="A1847:A1848"/>
    <mergeCell ref="B1847:B1848"/>
    <mergeCell ref="D1847:D1848"/>
    <mergeCell ref="E1847:E1848"/>
    <mergeCell ref="A1849:A1850"/>
    <mergeCell ref="B1849:B1850"/>
    <mergeCell ref="D1849:D1850"/>
    <mergeCell ref="E1849:E1850"/>
    <mergeCell ref="A1851:A1852"/>
    <mergeCell ref="B1851:B1852"/>
    <mergeCell ref="D1851:D1852"/>
    <mergeCell ref="E1851:E1852"/>
    <mergeCell ref="A1853:A1854"/>
    <mergeCell ref="B1853:B1854"/>
    <mergeCell ref="D1853:D1854"/>
    <mergeCell ref="E1853:E1854"/>
    <mergeCell ref="A1857:A1858"/>
    <mergeCell ref="B1857:B1858"/>
    <mergeCell ref="D1857:D1858"/>
    <mergeCell ref="E1857:E1858"/>
    <mergeCell ref="A1855:A1856"/>
    <mergeCell ref="B1855:B1856"/>
    <mergeCell ref="D1855:D1856"/>
    <mergeCell ref="E1855:E1856"/>
    <mergeCell ref="A1825:A1826"/>
    <mergeCell ref="B1825:B1826"/>
    <mergeCell ref="D1825:D1826"/>
    <mergeCell ref="E1825:E1826"/>
    <mergeCell ref="B1839:D1839"/>
    <mergeCell ref="A1841:A1842"/>
    <mergeCell ref="B1841:B1842"/>
    <mergeCell ref="D1841:D1842"/>
    <mergeCell ref="E1841:E1842"/>
    <mergeCell ref="A1843:A1844"/>
    <mergeCell ref="B1843:B1844"/>
    <mergeCell ref="D1843:D1844"/>
    <mergeCell ref="E1843:E1844"/>
    <mergeCell ref="A1845:A1846"/>
    <mergeCell ref="B1845:B1846"/>
    <mergeCell ref="D1845:D1846"/>
    <mergeCell ref="E1845:E1846"/>
    <mergeCell ref="A1815:A1816"/>
    <mergeCell ref="B1815:B1816"/>
    <mergeCell ref="D1815:D1816"/>
    <mergeCell ref="E1815:E1816"/>
    <mergeCell ref="A1817:A1818"/>
    <mergeCell ref="B1817:B1818"/>
    <mergeCell ref="D1817:D1818"/>
    <mergeCell ref="E1817:E1818"/>
    <mergeCell ref="A1819:A1820"/>
    <mergeCell ref="B1819:B1820"/>
    <mergeCell ref="D1819:D1820"/>
    <mergeCell ref="E1819:E1820"/>
    <mergeCell ref="A1821:A1822"/>
    <mergeCell ref="B1821:B1822"/>
    <mergeCell ref="D1821:D1822"/>
    <mergeCell ref="E1821:E1822"/>
    <mergeCell ref="A1823:A1824"/>
    <mergeCell ref="B1823:B1824"/>
    <mergeCell ref="D1823:D1824"/>
    <mergeCell ref="E1823:E1824"/>
    <mergeCell ref="A1793:A1794"/>
    <mergeCell ref="B1793:B1794"/>
    <mergeCell ref="D1793:D1794"/>
    <mergeCell ref="E1793:E1794"/>
    <mergeCell ref="B1807:D1807"/>
    <mergeCell ref="A1809:A1810"/>
    <mergeCell ref="B1809:B1810"/>
    <mergeCell ref="D1809:D1810"/>
    <mergeCell ref="E1809:E1810"/>
    <mergeCell ref="A1811:A1812"/>
    <mergeCell ref="B1811:B1812"/>
    <mergeCell ref="D1811:D1812"/>
    <mergeCell ref="E1811:E1812"/>
    <mergeCell ref="A1813:A1814"/>
    <mergeCell ref="B1813:B1814"/>
    <mergeCell ref="D1813:D1814"/>
    <mergeCell ref="E1813:E1814"/>
    <mergeCell ref="A1783:A1784"/>
    <mergeCell ref="B1783:B1784"/>
    <mergeCell ref="D1783:D1784"/>
    <mergeCell ref="E1783:E1784"/>
    <mergeCell ref="A1785:A1786"/>
    <mergeCell ref="B1785:B1786"/>
    <mergeCell ref="D1785:D1786"/>
    <mergeCell ref="E1785:E1786"/>
    <mergeCell ref="A1787:A1788"/>
    <mergeCell ref="B1787:B1788"/>
    <mergeCell ref="D1787:D1788"/>
    <mergeCell ref="E1787:E1788"/>
    <mergeCell ref="A1789:A1790"/>
    <mergeCell ref="B1789:B1790"/>
    <mergeCell ref="D1789:D1790"/>
    <mergeCell ref="E1789:E1790"/>
    <mergeCell ref="A1791:A1792"/>
    <mergeCell ref="B1791:B1792"/>
    <mergeCell ref="D1791:D1792"/>
    <mergeCell ref="E1791:E1792"/>
    <mergeCell ref="A1761:A1762"/>
    <mergeCell ref="B1761:B1762"/>
    <mergeCell ref="D1761:D1762"/>
    <mergeCell ref="E1761:E1762"/>
    <mergeCell ref="B1775:D1775"/>
    <mergeCell ref="A1777:A1778"/>
    <mergeCell ref="B1777:B1778"/>
    <mergeCell ref="D1777:D1778"/>
    <mergeCell ref="E1777:E1778"/>
    <mergeCell ref="A1779:A1780"/>
    <mergeCell ref="B1779:B1780"/>
    <mergeCell ref="D1779:D1780"/>
    <mergeCell ref="E1779:E1780"/>
    <mergeCell ref="A1781:A1782"/>
    <mergeCell ref="B1781:B1782"/>
    <mergeCell ref="D1781:D1782"/>
    <mergeCell ref="E1781:E1782"/>
    <mergeCell ref="A1751:A1752"/>
    <mergeCell ref="B1751:B1752"/>
    <mergeCell ref="D1751:D1752"/>
    <mergeCell ref="E1751:E1752"/>
    <mergeCell ref="A1753:A1754"/>
    <mergeCell ref="B1753:B1754"/>
    <mergeCell ref="D1753:D1754"/>
    <mergeCell ref="E1753:E1754"/>
    <mergeCell ref="A1755:A1756"/>
    <mergeCell ref="B1755:B1756"/>
    <mergeCell ref="D1755:D1756"/>
    <mergeCell ref="E1755:E1756"/>
    <mergeCell ref="A1757:A1758"/>
    <mergeCell ref="B1757:B1758"/>
    <mergeCell ref="D1757:D1758"/>
    <mergeCell ref="E1757:E1758"/>
    <mergeCell ref="A1759:A1760"/>
    <mergeCell ref="B1759:B1760"/>
    <mergeCell ref="D1759:D1760"/>
    <mergeCell ref="E1759:E1760"/>
    <mergeCell ref="A1729:A1730"/>
    <mergeCell ref="B1729:B1730"/>
    <mergeCell ref="D1729:D1730"/>
    <mergeCell ref="E1729:E1730"/>
    <mergeCell ref="B1743:D1743"/>
    <mergeCell ref="A1745:A1746"/>
    <mergeCell ref="B1745:B1746"/>
    <mergeCell ref="D1745:D1746"/>
    <mergeCell ref="E1745:E1746"/>
    <mergeCell ref="A1747:A1748"/>
    <mergeCell ref="B1747:B1748"/>
    <mergeCell ref="D1747:D1748"/>
    <mergeCell ref="E1747:E1748"/>
    <mergeCell ref="A1749:A1750"/>
    <mergeCell ref="B1749:B1750"/>
    <mergeCell ref="D1749:D1750"/>
    <mergeCell ref="E1749:E1750"/>
    <mergeCell ref="A1719:A1720"/>
    <mergeCell ref="B1719:B1720"/>
    <mergeCell ref="D1719:D1720"/>
    <mergeCell ref="E1719:E1720"/>
    <mergeCell ref="A1721:A1722"/>
    <mergeCell ref="B1721:B1722"/>
    <mergeCell ref="D1721:D1722"/>
    <mergeCell ref="E1721:E1722"/>
    <mergeCell ref="A1723:A1724"/>
    <mergeCell ref="B1723:B1724"/>
    <mergeCell ref="D1723:D1724"/>
    <mergeCell ref="E1723:E1724"/>
    <mergeCell ref="A1725:A1726"/>
    <mergeCell ref="B1725:B1726"/>
    <mergeCell ref="D1725:D1726"/>
    <mergeCell ref="E1725:E1726"/>
    <mergeCell ref="A1727:A1728"/>
    <mergeCell ref="B1727:B1728"/>
    <mergeCell ref="D1727:D1728"/>
    <mergeCell ref="E1727:E1728"/>
    <mergeCell ref="A1697:A1698"/>
    <mergeCell ref="B1697:B1698"/>
    <mergeCell ref="D1697:D1698"/>
    <mergeCell ref="E1697:E1698"/>
    <mergeCell ref="B1711:D1711"/>
    <mergeCell ref="A1713:A1714"/>
    <mergeCell ref="B1713:B1714"/>
    <mergeCell ref="D1713:D1714"/>
    <mergeCell ref="E1713:E1714"/>
    <mergeCell ref="A1715:A1716"/>
    <mergeCell ref="B1715:B1716"/>
    <mergeCell ref="D1715:D1716"/>
    <mergeCell ref="E1715:E1716"/>
    <mergeCell ref="A1717:A1718"/>
    <mergeCell ref="B1717:B1718"/>
    <mergeCell ref="D1717:D1718"/>
    <mergeCell ref="E1717:E1718"/>
    <mergeCell ref="A1687:A1688"/>
    <mergeCell ref="B1687:B1688"/>
    <mergeCell ref="D1687:D1688"/>
    <mergeCell ref="E1687:E1688"/>
    <mergeCell ref="A1689:A1690"/>
    <mergeCell ref="B1689:B1690"/>
    <mergeCell ref="D1689:D1690"/>
    <mergeCell ref="E1689:E1690"/>
    <mergeCell ref="A1691:A1692"/>
    <mergeCell ref="B1691:B1692"/>
    <mergeCell ref="D1691:D1692"/>
    <mergeCell ref="E1691:E1692"/>
    <mergeCell ref="A1693:A1694"/>
    <mergeCell ref="D1693:D1694"/>
    <mergeCell ref="E1693:E1694"/>
    <mergeCell ref="A1695:A1696"/>
    <mergeCell ref="B1695:B1696"/>
    <mergeCell ref="D1695:D1696"/>
    <mergeCell ref="E1695:E1696"/>
    <mergeCell ref="D1659:D1660"/>
    <mergeCell ref="E1659:E1660"/>
    <mergeCell ref="A1661:A1662"/>
    <mergeCell ref="B1661:B1662"/>
    <mergeCell ref="D1661:D1662"/>
    <mergeCell ref="E1661:E1662"/>
    <mergeCell ref="A1663:A1664"/>
    <mergeCell ref="B1663:B1664"/>
    <mergeCell ref="D1663:D1664"/>
    <mergeCell ref="E1663:E1664"/>
    <mergeCell ref="B1683:D1683"/>
    <mergeCell ref="A1685:A1686"/>
    <mergeCell ref="B1685:B1686"/>
    <mergeCell ref="D1685:D1686"/>
    <mergeCell ref="E1685:E1686"/>
    <mergeCell ref="B1657:B1658"/>
    <mergeCell ref="D1657:D1658"/>
    <mergeCell ref="E3002:E3003"/>
    <mergeCell ref="A3004:A3005"/>
    <mergeCell ref="B3004:B3005"/>
    <mergeCell ref="A2978:H2978"/>
    <mergeCell ref="B2862:C2862"/>
    <mergeCell ref="E2873:E2874"/>
    <mergeCell ref="E2875:E2876"/>
    <mergeCell ref="A3149:A3150"/>
    <mergeCell ref="B3149:B3150"/>
    <mergeCell ref="D3149:D3150"/>
    <mergeCell ref="E3149:E3150"/>
    <mergeCell ref="D2550:D2551"/>
    <mergeCell ref="E2550:E2551"/>
    <mergeCell ref="A2566:A2567"/>
    <mergeCell ref="B2566:B2567"/>
    <mergeCell ref="D2566:D2567"/>
    <mergeCell ref="E2566:E2567"/>
    <mergeCell ref="B2642:B2643"/>
    <mergeCell ref="B2644:B2645"/>
    <mergeCell ref="A2642:A2643"/>
    <mergeCell ref="A2644:A2645"/>
    <mergeCell ref="A2550:A2551"/>
    <mergeCell ref="B2550:B2551"/>
    <mergeCell ref="B2640:D2640"/>
    <mergeCell ref="D2642:D2643"/>
    <mergeCell ref="B2847:B2848"/>
    <mergeCell ref="A2847:A2848"/>
    <mergeCell ref="B2781:C2781"/>
    <mergeCell ref="A2786:A2787"/>
    <mergeCell ref="B2786:B2787"/>
    <mergeCell ref="D2786:D2787"/>
    <mergeCell ref="E2786:E2787"/>
    <mergeCell ref="A3151:A3152"/>
    <mergeCell ref="B3151:B3152"/>
    <mergeCell ref="D3151:D3152"/>
    <mergeCell ref="E3151:E3152"/>
    <mergeCell ref="B2875:B2876"/>
    <mergeCell ref="A2875:A2876"/>
    <mergeCell ref="B2250:B2251"/>
    <mergeCell ref="A2660:A2661"/>
    <mergeCell ref="B2660:B2661"/>
    <mergeCell ref="D2660:D2661"/>
    <mergeCell ref="E2660:E2661"/>
    <mergeCell ref="A2829:A2830"/>
    <mergeCell ref="B2829:B2830"/>
    <mergeCell ref="D2829:D2830"/>
    <mergeCell ref="E2829:E2830"/>
    <mergeCell ref="A2831:A2832"/>
    <mergeCell ref="B2831:B2832"/>
    <mergeCell ref="D2831:D2832"/>
    <mergeCell ref="E2831:E2832"/>
    <mergeCell ref="D3004:D3005"/>
    <mergeCell ref="E3004:E3005"/>
    <mergeCell ref="B2979:D2979"/>
    <mergeCell ref="E2500:E2501"/>
    <mergeCell ref="E2894:E2895"/>
    <mergeCell ref="A3002:A3003"/>
    <mergeCell ref="B3002:B3003"/>
    <mergeCell ref="D3002:D3003"/>
    <mergeCell ref="A2442:A2443"/>
    <mergeCell ref="A2444:A2445"/>
    <mergeCell ref="A2302:A2303"/>
    <mergeCell ref="A2586:A2587"/>
    <mergeCell ref="B2586:B2587"/>
    <mergeCell ref="E1891:E1892"/>
    <mergeCell ref="D1505:D1506"/>
    <mergeCell ref="E1505:E1506"/>
    <mergeCell ref="A1951:A1952"/>
    <mergeCell ref="E1573:E1574"/>
    <mergeCell ref="A1575:A1576"/>
    <mergeCell ref="A1577:A1578"/>
    <mergeCell ref="D1575:D1576"/>
    <mergeCell ref="E1575:E1576"/>
    <mergeCell ref="B1575:B1576"/>
    <mergeCell ref="D1577:D1578"/>
    <mergeCell ref="E1577:E1578"/>
    <mergeCell ref="A1579:A1580"/>
    <mergeCell ref="B1579:B1580"/>
    <mergeCell ref="D1581:D1582"/>
    <mergeCell ref="A1665:A1666"/>
    <mergeCell ref="D1665:D1666"/>
    <mergeCell ref="E1665:E1666"/>
    <mergeCell ref="A1667:A1668"/>
    <mergeCell ref="B1667:B1668"/>
    <mergeCell ref="D1667:D1668"/>
    <mergeCell ref="E1667:E1668"/>
    <mergeCell ref="A1669:A1670"/>
    <mergeCell ref="B1669:B1670"/>
    <mergeCell ref="D1669:D1670"/>
    <mergeCell ref="E1669:E1670"/>
    <mergeCell ref="B1655:D1655"/>
    <mergeCell ref="B1623:D1623"/>
    <mergeCell ref="D1873:D1874"/>
    <mergeCell ref="E1873:E1874"/>
    <mergeCell ref="E1581:E1582"/>
    <mergeCell ref="D1579:D1580"/>
    <mergeCell ref="E483:E484"/>
    <mergeCell ref="A603:A604"/>
    <mergeCell ref="B603:B604"/>
    <mergeCell ref="D603:D604"/>
    <mergeCell ref="A605:A606"/>
    <mergeCell ref="B605:B606"/>
    <mergeCell ref="D605:D606"/>
    <mergeCell ref="E605:E606"/>
    <mergeCell ref="E549:E550"/>
    <mergeCell ref="A533:A534"/>
    <mergeCell ref="B533:B534"/>
    <mergeCell ref="D533:D534"/>
    <mergeCell ref="E533:E534"/>
    <mergeCell ref="B528:C528"/>
    <mergeCell ref="E271:E272"/>
    <mergeCell ref="A273:A274"/>
    <mergeCell ref="D320:D321"/>
    <mergeCell ref="E464:E465"/>
    <mergeCell ref="A271:A272"/>
    <mergeCell ref="D464:D465"/>
    <mergeCell ref="A531:A532"/>
    <mergeCell ref="A515:A516"/>
    <mergeCell ref="B584:B585"/>
    <mergeCell ref="B515:B516"/>
    <mergeCell ref="D515:D516"/>
    <mergeCell ref="A499:A500"/>
    <mergeCell ref="B499:B500"/>
    <mergeCell ref="D499:D500"/>
    <mergeCell ref="A367:A368"/>
    <mergeCell ref="B367:B368"/>
    <mergeCell ref="E458:E459"/>
    <mergeCell ref="E499:E500"/>
    <mergeCell ref="A1271:A1272"/>
    <mergeCell ref="B1271:B1272"/>
    <mergeCell ref="D1271:D1272"/>
    <mergeCell ref="B736:B737"/>
    <mergeCell ref="E1271:E1272"/>
    <mergeCell ref="B1267:C1267"/>
    <mergeCell ref="A751:A752"/>
    <mergeCell ref="B751:B752"/>
    <mergeCell ref="D751:D752"/>
    <mergeCell ref="E751:E752"/>
    <mergeCell ref="A753:A754"/>
    <mergeCell ref="B753:B754"/>
    <mergeCell ref="A725:A726"/>
    <mergeCell ref="A705:A706"/>
    <mergeCell ref="B705:B706"/>
    <mergeCell ref="B269:B270"/>
    <mergeCell ref="A269:A270"/>
    <mergeCell ref="B689:B690"/>
    <mergeCell ref="D607:D608"/>
    <mergeCell ref="D689:D690"/>
    <mergeCell ref="A875:A876"/>
    <mergeCell ref="B875:B876"/>
    <mergeCell ref="D753:D754"/>
    <mergeCell ref="E753:E754"/>
    <mergeCell ref="A771:A772"/>
    <mergeCell ref="B771:B772"/>
    <mergeCell ref="D771:D772"/>
    <mergeCell ref="E771:E772"/>
    <mergeCell ref="A773:A774"/>
    <mergeCell ref="B773:B774"/>
    <mergeCell ref="D773:D774"/>
    <mergeCell ref="E773:E774"/>
    <mergeCell ref="D705:D706"/>
    <mergeCell ref="E705:E706"/>
    <mergeCell ref="A707:A708"/>
    <mergeCell ref="B707:B708"/>
    <mergeCell ref="D707:D708"/>
    <mergeCell ref="E710:E711"/>
    <mergeCell ref="A792:A793"/>
    <mergeCell ref="B792:B793"/>
    <mergeCell ref="D792:D793"/>
    <mergeCell ref="E792:E793"/>
    <mergeCell ref="A1269:A1270"/>
    <mergeCell ref="B1269:B1270"/>
    <mergeCell ref="D1269:D1270"/>
    <mergeCell ref="E1269:E1270"/>
    <mergeCell ref="D790:D791"/>
    <mergeCell ref="E790:E791"/>
    <mergeCell ref="D893:D894"/>
    <mergeCell ref="A828:A829"/>
    <mergeCell ref="B828:B829"/>
    <mergeCell ref="D828:D829"/>
    <mergeCell ref="E828:E829"/>
    <mergeCell ref="E893:E894"/>
    <mergeCell ref="A873:A874"/>
    <mergeCell ref="B873:B874"/>
    <mergeCell ref="D873:D874"/>
    <mergeCell ref="E873:E874"/>
    <mergeCell ref="E871:E872"/>
    <mergeCell ref="A731:A732"/>
    <mergeCell ref="B725:B726"/>
    <mergeCell ref="D725:D726"/>
    <mergeCell ref="E725:E726"/>
    <mergeCell ref="A727:A728"/>
    <mergeCell ref="B727:B728"/>
    <mergeCell ref="D727:D728"/>
    <mergeCell ref="E727:E728"/>
    <mergeCell ref="B953:B954"/>
    <mergeCell ref="D953:D954"/>
    <mergeCell ref="E953:E954"/>
    <mergeCell ref="A955:A956"/>
    <mergeCell ref="B955:B956"/>
    <mergeCell ref="D955:D956"/>
    <mergeCell ref="E955:E956"/>
    <mergeCell ref="A930:A931"/>
    <mergeCell ref="A1306:A1307"/>
    <mergeCell ref="B1306:B1307"/>
    <mergeCell ref="D1306:D1307"/>
    <mergeCell ref="E1306:E1307"/>
    <mergeCell ref="D736:D737"/>
    <mergeCell ref="D875:D876"/>
    <mergeCell ref="E875:E876"/>
    <mergeCell ref="A869:A870"/>
    <mergeCell ref="B869:B870"/>
    <mergeCell ref="D869:D870"/>
    <mergeCell ref="E869:E870"/>
    <mergeCell ref="B871:B872"/>
    <mergeCell ref="A891:A892"/>
    <mergeCell ref="B891:B892"/>
    <mergeCell ref="A808:A809"/>
    <mergeCell ref="A893:A894"/>
    <mergeCell ref="B893:B894"/>
    <mergeCell ref="D871:D872"/>
    <mergeCell ref="E810:E811"/>
    <mergeCell ref="A790:A791"/>
    <mergeCell ref="B790:B791"/>
    <mergeCell ref="B68:B69"/>
    <mergeCell ref="B2494:D2494"/>
    <mergeCell ref="D891:D892"/>
    <mergeCell ref="E891:E892"/>
    <mergeCell ref="B2546:D2546"/>
    <mergeCell ref="E2568:E2569"/>
    <mergeCell ref="B2564:D2564"/>
    <mergeCell ref="B2582:D2582"/>
    <mergeCell ref="D1353:D1354"/>
    <mergeCell ref="D826:D827"/>
    <mergeCell ref="E826:E827"/>
    <mergeCell ref="B2215:B2216"/>
    <mergeCell ref="B531:B532"/>
    <mergeCell ref="D531:D532"/>
    <mergeCell ref="E531:E532"/>
    <mergeCell ref="E626:E627"/>
    <mergeCell ref="D2391:D2392"/>
    <mergeCell ref="D2283:D2284"/>
    <mergeCell ref="E2283:E2284"/>
    <mergeCell ref="D2366:D2367"/>
    <mergeCell ref="E2393:E2394"/>
    <mergeCell ref="B2381:E2381"/>
    <mergeCell ref="B2207:B2208"/>
    <mergeCell ref="D2219:D2220"/>
    <mergeCell ref="D2221:D2222"/>
    <mergeCell ref="E607:E608"/>
    <mergeCell ref="B1353:B1354"/>
    <mergeCell ref="E687:E688"/>
    <mergeCell ref="B2213:B2214"/>
    <mergeCell ref="E2209:E2210"/>
    <mergeCell ref="B703:C703"/>
    <mergeCell ref="D1464:D1465"/>
    <mergeCell ref="E1287:E1288"/>
    <mergeCell ref="D1488:D1489"/>
    <mergeCell ref="B1520:D1520"/>
    <mergeCell ref="B1501:D1501"/>
    <mergeCell ref="E1346:E1347"/>
    <mergeCell ref="B1430:B1431"/>
    <mergeCell ref="D1430:D1431"/>
    <mergeCell ref="E1430:E1431"/>
    <mergeCell ref="A1428:A1429"/>
    <mergeCell ref="B1428:B1429"/>
    <mergeCell ref="A1406:A1407"/>
    <mergeCell ref="B1406:B1407"/>
    <mergeCell ref="D1406:D1407"/>
    <mergeCell ref="E1406:E1407"/>
    <mergeCell ref="A1408:A1409"/>
    <mergeCell ref="B1408:B1409"/>
    <mergeCell ref="D1408:D1409"/>
    <mergeCell ref="E1408:E1409"/>
    <mergeCell ref="A1430:A1431"/>
    <mergeCell ref="A1503:A1504"/>
    <mergeCell ref="B1503:B1504"/>
    <mergeCell ref="D1503:D1504"/>
    <mergeCell ref="E1503:E1504"/>
    <mergeCell ref="B1507:B1508"/>
    <mergeCell ref="B1505:B1506"/>
    <mergeCell ref="B1484:B1485"/>
    <mergeCell ref="D1484:D1485"/>
    <mergeCell ref="A1289:A1290"/>
    <mergeCell ref="D1325:D1326"/>
    <mergeCell ref="E1325:E1326"/>
    <mergeCell ref="A1327:A1328"/>
    <mergeCell ref="B1327:B1328"/>
    <mergeCell ref="A39:A40"/>
    <mergeCell ref="B41:B42"/>
    <mergeCell ref="A41:A42"/>
    <mergeCell ref="D39:D40"/>
    <mergeCell ref="D41:D42"/>
    <mergeCell ref="E41:E42"/>
    <mergeCell ref="E39:E40"/>
    <mergeCell ref="B180:B181"/>
    <mergeCell ref="A180:A181"/>
    <mergeCell ref="D180:D181"/>
    <mergeCell ref="E182:E183"/>
    <mergeCell ref="B64:B65"/>
    <mergeCell ref="A64:A65"/>
    <mergeCell ref="B66:B67"/>
    <mergeCell ref="A66:A67"/>
    <mergeCell ref="D64:D65"/>
    <mergeCell ref="E64:E65"/>
    <mergeCell ref="A68:A69"/>
    <mergeCell ref="D68:D69"/>
    <mergeCell ref="B81:D81"/>
    <mergeCell ref="E68:E69"/>
    <mergeCell ref="B39:B40"/>
    <mergeCell ref="B165:B166"/>
    <mergeCell ref="D165:D166"/>
    <mergeCell ref="E165:E166"/>
    <mergeCell ref="A174:H174"/>
    <mergeCell ref="D182:D183"/>
    <mergeCell ref="D163:D164"/>
    <mergeCell ref="E163:E164"/>
    <mergeCell ref="D66:D67"/>
    <mergeCell ref="E66:E67"/>
    <mergeCell ref="B182:B183"/>
    <mergeCell ref="A4122:H4122"/>
    <mergeCell ref="A3956:H3956"/>
    <mergeCell ref="A3939:H3939"/>
    <mergeCell ref="A3940:H3940"/>
    <mergeCell ref="A3942:H3942"/>
    <mergeCell ref="A3944:H3944"/>
    <mergeCell ref="A4014:H4014"/>
    <mergeCell ref="A3993:H3993"/>
    <mergeCell ref="A3994:H3994"/>
    <mergeCell ref="D271:D272"/>
    <mergeCell ref="B455:D455"/>
    <mergeCell ref="A4060:H4060"/>
    <mergeCell ref="A710:A711"/>
    <mergeCell ref="B710:B711"/>
    <mergeCell ref="B1346:B1347"/>
    <mergeCell ref="D1346:D1347"/>
    <mergeCell ref="B1342:D1342"/>
    <mergeCell ref="A871:A872"/>
    <mergeCell ref="E1579:E1580"/>
    <mergeCell ref="B1581:B1582"/>
    <mergeCell ref="A1581:A1582"/>
    <mergeCell ref="E1308:E1309"/>
    <mergeCell ref="A1446:A1447"/>
    <mergeCell ref="B1446:B1447"/>
    <mergeCell ref="D1446:D1447"/>
    <mergeCell ref="E1446:E1447"/>
    <mergeCell ref="A1657:A1658"/>
    <mergeCell ref="A3548:H3548"/>
    <mergeCell ref="B1289:B1290"/>
    <mergeCell ref="A1287:A1288"/>
    <mergeCell ref="B1287:B1288"/>
    <mergeCell ref="D1287:D1288"/>
    <mergeCell ref="A3672:H3672"/>
    <mergeCell ref="A4138:H4138"/>
    <mergeCell ref="A4139:H4139"/>
    <mergeCell ref="A4278:G4278"/>
    <mergeCell ref="A4231:H4231"/>
    <mergeCell ref="A4234:H4234"/>
    <mergeCell ref="A4236:H4236"/>
    <mergeCell ref="A4233:H4233"/>
    <mergeCell ref="A4238:H4238"/>
    <mergeCell ref="A4248:H4248"/>
    <mergeCell ref="A4255:G4255"/>
    <mergeCell ref="A4199:H4199"/>
    <mergeCell ref="A4205:H4205"/>
    <mergeCell ref="A4207:H4207"/>
    <mergeCell ref="A4208:H4208"/>
    <mergeCell ref="A4210:H4210"/>
    <mergeCell ref="A4212:H4212"/>
    <mergeCell ref="A4225:H4225"/>
    <mergeCell ref="A4257:G4257"/>
    <mergeCell ref="A4258:G4258"/>
    <mergeCell ref="A4141:H4141"/>
    <mergeCell ref="A4143:H4143"/>
    <mergeCell ref="A4260:G4260"/>
    <mergeCell ref="A4159:H4159"/>
    <mergeCell ref="A4160:H4160"/>
    <mergeCell ref="A4162:H4162"/>
    <mergeCell ref="A4164:H4164"/>
    <mergeCell ref="A4153:H4153"/>
    <mergeCell ref="A4132:H4132"/>
    <mergeCell ref="A4117:H4117"/>
    <mergeCell ref="A4118:H4118"/>
    <mergeCell ref="A4120:H4120"/>
    <mergeCell ref="A4176:H4176"/>
    <mergeCell ref="A3594:H3594"/>
    <mergeCell ref="A3577:H3577"/>
    <mergeCell ref="A3578:H3578"/>
    <mergeCell ref="A3580:H3580"/>
    <mergeCell ref="A3582:H3582"/>
    <mergeCell ref="A3600:H3600"/>
    <mergeCell ref="A3601:H3601"/>
    <mergeCell ref="A3603:H3603"/>
    <mergeCell ref="A3605:H3605"/>
    <mergeCell ref="A3618:H3618"/>
    <mergeCell ref="A3732:H3732"/>
    <mergeCell ref="A3716:H3716"/>
    <mergeCell ref="A3717:H3717"/>
    <mergeCell ref="A3719:H3719"/>
    <mergeCell ref="A3898:H3898"/>
    <mergeCell ref="A3996:H3996"/>
    <mergeCell ref="A3987:H3987"/>
    <mergeCell ref="A3963:H3963"/>
    <mergeCell ref="A3964:H3964"/>
    <mergeCell ref="A3966:H3966"/>
    <mergeCell ref="A3968:H3968"/>
    <mergeCell ref="A3933:H3933"/>
    <mergeCell ref="A3907:H3907"/>
    <mergeCell ref="A3893:H3893"/>
    <mergeCell ref="A3870:H3870"/>
    <mergeCell ref="A3872:H3872"/>
    <mergeCell ref="A3874:H3874"/>
    <mergeCell ref="A3862:H3862"/>
    <mergeCell ref="A3817:H3817"/>
    <mergeCell ref="A3796:H3796"/>
    <mergeCell ref="A3797:H3797"/>
    <mergeCell ref="D2250:D2251"/>
    <mergeCell ref="E2250:E2251"/>
    <mergeCell ref="A4023:H4023"/>
    <mergeCell ref="A4025:H4025"/>
    <mergeCell ref="A4095:H4095"/>
    <mergeCell ref="A4097:H4097"/>
    <mergeCell ref="A4262:G4262"/>
    <mergeCell ref="A4182:H4182"/>
    <mergeCell ref="A4184:H4184"/>
    <mergeCell ref="A4185:H4185"/>
    <mergeCell ref="A4187:H4187"/>
    <mergeCell ref="A4189:H4189"/>
    <mergeCell ref="A4111:H4111"/>
    <mergeCell ref="A4094:H4094"/>
    <mergeCell ref="A3998:H3998"/>
    <mergeCell ref="A4044:H4044"/>
    <mergeCell ref="A4045:H4045"/>
    <mergeCell ref="A4047:H4047"/>
    <mergeCell ref="A3824:H3824"/>
    <mergeCell ref="A3826:H3826"/>
    <mergeCell ref="A3828:H3828"/>
    <mergeCell ref="A4020:H4020"/>
    <mergeCell ref="A4021:H4021"/>
    <mergeCell ref="A3894:H3894"/>
    <mergeCell ref="A4067:H4067"/>
    <mergeCell ref="A4069:H4069"/>
    <mergeCell ref="A3896:H3896"/>
    <mergeCell ref="A3917:H3917"/>
    <mergeCell ref="A3918:H3918"/>
    <mergeCell ref="A3920:H3920"/>
    <mergeCell ref="A3922:H3922"/>
    <mergeCell ref="A3913:H3913"/>
    <mergeCell ref="A3513:H3513"/>
    <mergeCell ref="G3411:H3411"/>
    <mergeCell ref="A3338:H3338"/>
    <mergeCell ref="A3389:H3389"/>
    <mergeCell ref="A3666:H3666"/>
    <mergeCell ref="A3649:H3649"/>
    <mergeCell ref="A3650:H3650"/>
    <mergeCell ref="A3652:H3652"/>
    <mergeCell ref="A3654:H3654"/>
    <mergeCell ref="G3431:H3431"/>
    <mergeCell ref="G3422:H3422"/>
    <mergeCell ref="G3423:H3423"/>
    <mergeCell ref="A3557:H3557"/>
    <mergeCell ref="A3559:H3559"/>
    <mergeCell ref="A3642:H3642"/>
    <mergeCell ref="A3626:H3626"/>
    <mergeCell ref="A3627:H3627"/>
    <mergeCell ref="A3629:H3629"/>
    <mergeCell ref="A3631:H3631"/>
    <mergeCell ref="G3430:H3430"/>
    <mergeCell ref="A3339:D3339"/>
    <mergeCell ref="G3424:H3424"/>
    <mergeCell ref="G3425:H3425"/>
    <mergeCell ref="G3414:H3414"/>
    <mergeCell ref="A3759:H3759"/>
    <mergeCell ref="A3739:H3739"/>
    <mergeCell ref="A3740:H3740"/>
    <mergeCell ref="A3742:H3742"/>
    <mergeCell ref="A3744:H3744"/>
    <mergeCell ref="A3846:H3846"/>
    <mergeCell ref="A3847:H3847"/>
    <mergeCell ref="A3849:H3849"/>
    <mergeCell ref="A3851:H3851"/>
    <mergeCell ref="A3788:H3788"/>
    <mergeCell ref="A3771:H3771"/>
    <mergeCell ref="A4066:H4066"/>
    <mergeCell ref="A4071:H4071"/>
    <mergeCell ref="A4049:H4049"/>
    <mergeCell ref="A4038:H4038"/>
    <mergeCell ref="A3675:H3675"/>
    <mergeCell ref="A3887:H3887"/>
    <mergeCell ref="A3869:H3869"/>
    <mergeCell ref="A3677:H3677"/>
    <mergeCell ref="A3689:H3689"/>
    <mergeCell ref="A3914:H3914"/>
    <mergeCell ref="A4099:H4099"/>
    <mergeCell ref="A4087:H4087"/>
    <mergeCell ref="A3799:H3799"/>
    <mergeCell ref="A3801:H3801"/>
    <mergeCell ref="A3839:H3839"/>
    <mergeCell ref="A3823:H3823"/>
    <mergeCell ref="G3426:H3426"/>
    <mergeCell ref="A3528:H3528"/>
    <mergeCell ref="A3491:H3491"/>
    <mergeCell ref="A3496:H3496"/>
    <mergeCell ref="A3512:H3512"/>
    <mergeCell ref="A3535:H3535"/>
    <mergeCell ref="A3492:H3492"/>
    <mergeCell ref="A3494:H3494"/>
    <mergeCell ref="A687:A688"/>
    <mergeCell ref="B687:B688"/>
    <mergeCell ref="A3167:H3167"/>
    <mergeCell ref="B1370:B1371"/>
    <mergeCell ref="D1370:D1371"/>
    <mergeCell ref="A2459:A2460"/>
    <mergeCell ref="A2461:A2462"/>
    <mergeCell ref="B2368:B2369"/>
    <mergeCell ref="A2368:A2369"/>
    <mergeCell ref="A3721:H3721"/>
    <mergeCell ref="A3766:H3766"/>
    <mergeCell ref="A3767:H3767"/>
    <mergeCell ref="A3769:H3769"/>
    <mergeCell ref="A3710:H3710"/>
    <mergeCell ref="A3695:H3695"/>
    <mergeCell ref="A3571:H3571"/>
    <mergeCell ref="A3554:H3554"/>
    <mergeCell ref="A3555:H3555"/>
    <mergeCell ref="A607:A608"/>
    <mergeCell ref="B607:B608"/>
    <mergeCell ref="D1344:D1345"/>
    <mergeCell ref="E1344:E1345"/>
    <mergeCell ref="B2205:B2206"/>
    <mergeCell ref="A2205:A2206"/>
    <mergeCell ref="D2205:D2206"/>
    <mergeCell ref="E2205:E2206"/>
    <mergeCell ref="A2207:A2208"/>
    <mergeCell ref="D2207:D2208"/>
    <mergeCell ref="E2207:E2208"/>
    <mergeCell ref="A2244:A2245"/>
    <mergeCell ref="B2244:B2245"/>
    <mergeCell ref="D2244:D2245"/>
    <mergeCell ref="E2244:E2245"/>
    <mergeCell ref="D665:D666"/>
    <mergeCell ref="E689:E690"/>
    <mergeCell ref="D710:D711"/>
    <mergeCell ref="A826:A827"/>
    <mergeCell ref="B826:B827"/>
    <mergeCell ref="B645:B646"/>
    <mergeCell ref="A624:A625"/>
    <mergeCell ref="B624:B625"/>
    <mergeCell ref="D624:D625"/>
    <mergeCell ref="E624:E625"/>
    <mergeCell ref="A626:A627"/>
    <mergeCell ref="B626:B627"/>
    <mergeCell ref="D626:D627"/>
    <mergeCell ref="A665:A666"/>
    <mergeCell ref="B665:B666"/>
    <mergeCell ref="A1989:A1990"/>
    <mergeCell ref="A2047:A2048"/>
    <mergeCell ref="A3673:H3673"/>
    <mergeCell ref="A3515:H3515"/>
    <mergeCell ref="A3517:H3517"/>
    <mergeCell ref="A3536:H3536"/>
    <mergeCell ref="A3538:H3538"/>
    <mergeCell ref="A3540:H3540"/>
    <mergeCell ref="A3506:H3506"/>
    <mergeCell ref="A3696:H3696"/>
    <mergeCell ref="A3698:H3698"/>
    <mergeCell ref="A3700:H3700"/>
    <mergeCell ref="A3468:H3468"/>
    <mergeCell ref="G3458:H3458"/>
    <mergeCell ref="A77:H77"/>
    <mergeCell ref="G3453:H3453"/>
    <mergeCell ref="G3454:H3454"/>
    <mergeCell ref="G3455:H3455"/>
    <mergeCell ref="G3456:H3456"/>
    <mergeCell ref="G3457:H3457"/>
    <mergeCell ref="G3443:H3443"/>
    <mergeCell ref="G3444:H3444"/>
    <mergeCell ref="G3445:H3445"/>
    <mergeCell ref="G3446:H3446"/>
    <mergeCell ref="G3432:H3432"/>
    <mergeCell ref="G3433:H3433"/>
    <mergeCell ref="G3434:H3434"/>
    <mergeCell ref="G3441:H3441"/>
    <mergeCell ref="G3442:H3442"/>
    <mergeCell ref="G3427:H3427"/>
    <mergeCell ref="G3428:H3428"/>
    <mergeCell ref="G3429:H3429"/>
    <mergeCell ref="A303:A304"/>
    <mergeCell ref="A3198:H3198"/>
    <mergeCell ref="G3415:H3415"/>
    <mergeCell ref="G3409:H3409"/>
    <mergeCell ref="G3407:H3407"/>
    <mergeCell ref="G3410:H3410"/>
    <mergeCell ref="A479:A480"/>
    <mergeCell ref="B479:B480"/>
    <mergeCell ref="D479:D480"/>
    <mergeCell ref="D645:D646"/>
    <mergeCell ref="E645:E646"/>
    <mergeCell ref="B641:D641"/>
    <mergeCell ref="E479:E480"/>
    <mergeCell ref="A481:A482"/>
    <mergeCell ref="B481:B482"/>
    <mergeCell ref="A2213:A2214"/>
    <mergeCell ref="E603:E604"/>
    <mergeCell ref="A667:A668"/>
    <mergeCell ref="B667:B668"/>
    <mergeCell ref="D667:D668"/>
    <mergeCell ref="E667:E668"/>
    <mergeCell ref="E1368:E1369"/>
    <mergeCell ref="A1370:A1371"/>
    <mergeCell ref="D481:D482"/>
    <mergeCell ref="E515:E516"/>
    <mergeCell ref="D584:D585"/>
    <mergeCell ref="E481:E482"/>
    <mergeCell ref="A483:A484"/>
    <mergeCell ref="B483:B484"/>
    <mergeCell ref="D483:D484"/>
    <mergeCell ref="E584:E585"/>
    <mergeCell ref="E1370:E1371"/>
    <mergeCell ref="E2271:E2272"/>
    <mergeCell ref="D2273:D2274"/>
    <mergeCell ref="A2238:A2239"/>
    <mergeCell ref="B2238:B2239"/>
    <mergeCell ref="G3412:H3412"/>
    <mergeCell ref="G3413:H3413"/>
    <mergeCell ref="E2219:E2220"/>
    <mergeCell ref="A2240:A2241"/>
    <mergeCell ref="B2240:B2241"/>
    <mergeCell ref="D2240:D2241"/>
    <mergeCell ref="E2240:E2241"/>
    <mergeCell ref="A2242:A2243"/>
    <mergeCell ref="B2242:B2243"/>
    <mergeCell ref="B2246:B2247"/>
    <mergeCell ref="A2498:A2499"/>
    <mergeCell ref="B2498:B2499"/>
    <mergeCell ref="D2498:D2499"/>
    <mergeCell ref="E2498:E2499"/>
    <mergeCell ref="A2500:A2501"/>
    <mergeCell ref="B2500:B2501"/>
    <mergeCell ref="D2500:D2501"/>
    <mergeCell ref="E2387:E2388"/>
    <mergeCell ref="E2389:E2390"/>
    <mergeCell ref="E2391:E2392"/>
    <mergeCell ref="B2461:B2462"/>
    <mergeCell ref="A2496:A2497"/>
    <mergeCell ref="B2496:B2497"/>
    <mergeCell ref="D2496:D2497"/>
    <mergeCell ref="E2246:E2247"/>
    <mergeCell ref="B2234:D2234"/>
    <mergeCell ref="A2236:A2237"/>
    <mergeCell ref="A2271:A2272"/>
    <mergeCell ref="A3319:H3319"/>
    <mergeCell ref="D2271:D2272"/>
    <mergeCell ref="B643:B644"/>
    <mergeCell ref="D643:D644"/>
    <mergeCell ref="E643:E644"/>
    <mergeCell ref="D1348:D1349"/>
    <mergeCell ref="B1348:B1349"/>
    <mergeCell ref="E2242:E2243"/>
    <mergeCell ref="A1348:A1349"/>
    <mergeCell ref="E707:E708"/>
    <mergeCell ref="E2221:E2222"/>
    <mergeCell ref="D1507:D1508"/>
    <mergeCell ref="E1507:E1508"/>
    <mergeCell ref="E2238:E2239"/>
    <mergeCell ref="A689:A690"/>
    <mergeCell ref="B808:B809"/>
    <mergeCell ref="E665:E666"/>
    <mergeCell ref="B2217:B2218"/>
    <mergeCell ref="E2215:E2216"/>
    <mergeCell ref="E2217:E2218"/>
    <mergeCell ref="D2236:D2237"/>
    <mergeCell ref="E2236:E2237"/>
    <mergeCell ref="B2219:B2220"/>
    <mergeCell ref="A1507:A1508"/>
    <mergeCell ref="D2215:D2216"/>
    <mergeCell ref="D2217:D2218"/>
    <mergeCell ref="B2147:D2147"/>
    <mergeCell ref="A2149:A2150"/>
    <mergeCell ref="B2236:B2237"/>
    <mergeCell ref="E2030:E2031"/>
    <mergeCell ref="B2026:C2026"/>
    <mergeCell ref="A2007:A2008"/>
    <mergeCell ref="B2007:B2008"/>
    <mergeCell ref="D2007:D2008"/>
    <mergeCell ref="D808:D809"/>
    <mergeCell ref="E808:E809"/>
    <mergeCell ref="A810:A811"/>
    <mergeCell ref="B810:B811"/>
    <mergeCell ref="D810:D811"/>
    <mergeCell ref="B1951:B1952"/>
    <mergeCell ref="E1353:E1354"/>
    <mergeCell ref="B1989:B1990"/>
    <mergeCell ref="D1989:D1990"/>
    <mergeCell ref="E1989:E1990"/>
    <mergeCell ref="A2028:A2029"/>
    <mergeCell ref="B2028:B2029"/>
    <mergeCell ref="D2028:D2029"/>
    <mergeCell ref="E2028:E2029"/>
    <mergeCell ref="A2030:A2031"/>
    <mergeCell ref="B2030:B2031"/>
    <mergeCell ref="A1524:A1525"/>
    <mergeCell ref="B1524:B1525"/>
    <mergeCell ref="D1524:D1525"/>
    <mergeCell ref="E1524:E1525"/>
    <mergeCell ref="A1505:A1506"/>
    <mergeCell ref="B1389:B1390"/>
    <mergeCell ref="D1389:D1390"/>
    <mergeCell ref="E1389:E1390"/>
    <mergeCell ref="A1991:A1992"/>
    <mergeCell ref="B1991:B1992"/>
    <mergeCell ref="D1991:D1992"/>
    <mergeCell ref="E1991:E1992"/>
    <mergeCell ref="D2030:D2031"/>
    <mergeCell ref="E2007:E2008"/>
    <mergeCell ref="D1327:D1328"/>
    <mergeCell ref="E1327:E1328"/>
    <mergeCell ref="A2217:A2218"/>
    <mergeCell ref="B1893:B1894"/>
    <mergeCell ref="D2071:D2072"/>
    <mergeCell ref="D2073:D2074"/>
    <mergeCell ref="A2281:A2282"/>
    <mergeCell ref="B2281:B2282"/>
    <mergeCell ref="B2296:D2296"/>
    <mergeCell ref="A2298:A2299"/>
    <mergeCell ref="B2298:B2299"/>
    <mergeCell ref="D2298:D2299"/>
    <mergeCell ref="E2298:E2299"/>
    <mergeCell ref="A2300:A2301"/>
    <mergeCell ref="B2300:B2301"/>
    <mergeCell ref="D2300:D2301"/>
    <mergeCell ref="E2300:E2301"/>
    <mergeCell ref="B2248:B2249"/>
    <mergeCell ref="A2252:A2253"/>
    <mergeCell ref="B2252:B2253"/>
    <mergeCell ref="D2252:D2253"/>
    <mergeCell ref="E2252:E2253"/>
    <mergeCell ref="E2273:E2274"/>
    <mergeCell ref="D2248:D2249"/>
    <mergeCell ref="E2248:E2249"/>
    <mergeCell ref="A2250:A2251"/>
    <mergeCell ref="A2073:A2074"/>
    <mergeCell ref="B2149:B2150"/>
    <mergeCell ref="D2149:D2150"/>
    <mergeCell ref="E2149:E2150"/>
    <mergeCell ref="A2246:A2247"/>
    <mergeCell ref="D1893:D1894"/>
    <mergeCell ref="E1893:E1894"/>
    <mergeCell ref="D2279:D2280"/>
    <mergeCell ref="B2271:B2272"/>
    <mergeCell ref="B2459:B2460"/>
    <mergeCell ref="E2332:E2333"/>
    <mergeCell ref="A2310:A2311"/>
    <mergeCell ref="B2310:B2311"/>
    <mergeCell ref="E2310:E2311"/>
    <mergeCell ref="A2314:A2315"/>
    <mergeCell ref="B2314:B2315"/>
    <mergeCell ref="D2314:D2315"/>
    <mergeCell ref="A2330:A2331"/>
    <mergeCell ref="B2330:B2331"/>
    <mergeCell ref="D2330:D2331"/>
    <mergeCell ref="E2330:E2331"/>
    <mergeCell ref="A2332:A2333"/>
    <mergeCell ref="B2332:B2333"/>
    <mergeCell ref="A2312:A2313"/>
    <mergeCell ref="B2312:B2313"/>
    <mergeCell ref="E2314:E2315"/>
    <mergeCell ref="B2410:B2411"/>
    <mergeCell ref="D2410:D2411"/>
    <mergeCell ref="E2410:E2411"/>
    <mergeCell ref="D2383:D2384"/>
    <mergeCell ref="B2393:B2394"/>
    <mergeCell ref="B2391:B2392"/>
    <mergeCell ref="A2456:H2456"/>
    <mergeCell ref="A2424:H2424"/>
    <mergeCell ref="A2348:A2349"/>
    <mergeCell ref="B2348:B2349"/>
    <mergeCell ref="D2348:D2349"/>
    <mergeCell ref="D2350:D2351"/>
    <mergeCell ref="E2348:E2349"/>
    <mergeCell ref="B2406:E2406"/>
    <mergeCell ref="E2496:E2497"/>
    <mergeCell ref="B2760:C2760"/>
    <mergeCell ref="A2765:A2766"/>
    <mergeCell ref="B2765:B2766"/>
    <mergeCell ref="D2765:D2766"/>
    <mergeCell ref="E2765:E2766"/>
    <mergeCell ref="E2692:E2693"/>
    <mergeCell ref="E2708:E2709"/>
    <mergeCell ref="A2516:A2517"/>
    <mergeCell ref="B2516:B2517"/>
    <mergeCell ref="D2516:D2517"/>
    <mergeCell ref="E2516:E2517"/>
    <mergeCell ref="D2568:D2569"/>
    <mergeCell ref="D2586:D2587"/>
    <mergeCell ref="E2586:E2587"/>
    <mergeCell ref="D2644:D2645"/>
    <mergeCell ref="E2642:E2643"/>
    <mergeCell ref="E2644:E2645"/>
    <mergeCell ref="A2584:A2585"/>
    <mergeCell ref="B2584:B2585"/>
    <mergeCell ref="D2584:D2585"/>
    <mergeCell ref="E2584:E2585"/>
    <mergeCell ref="B2692:B2693"/>
    <mergeCell ref="D2692:D2693"/>
    <mergeCell ref="A2708:A2709"/>
    <mergeCell ref="B2708:B2709"/>
    <mergeCell ref="D2708:D2709"/>
    <mergeCell ref="A2568:A2569"/>
    <mergeCell ref="B2568:B2569"/>
    <mergeCell ref="A2692:A2693"/>
    <mergeCell ref="B2604:B2605"/>
    <mergeCell ref="A643:A644"/>
    <mergeCell ref="E2385:E2386"/>
    <mergeCell ref="E2985:E2986"/>
    <mergeCell ref="A440:A441"/>
    <mergeCell ref="B440:B441"/>
    <mergeCell ref="B436:B437"/>
    <mergeCell ref="D436:D437"/>
    <mergeCell ref="E436:E437"/>
    <mergeCell ref="A438:A439"/>
    <mergeCell ref="B438:B439"/>
    <mergeCell ref="D438:D439"/>
    <mergeCell ref="E438:E439"/>
    <mergeCell ref="B460:B461"/>
    <mergeCell ref="D460:D461"/>
    <mergeCell ref="E460:E461"/>
    <mergeCell ref="A462:A463"/>
    <mergeCell ref="B462:B463"/>
    <mergeCell ref="D462:D463"/>
    <mergeCell ref="E462:E463"/>
    <mergeCell ref="A464:A465"/>
    <mergeCell ref="B464:B465"/>
    <mergeCell ref="D440:D441"/>
    <mergeCell ref="E440:E441"/>
    <mergeCell ref="A442:A443"/>
    <mergeCell ref="B442:B443"/>
    <mergeCell ref="A2887:H2887"/>
    <mergeCell ref="A2892:A2893"/>
    <mergeCell ref="E2308:E2309"/>
    <mergeCell ref="E442:E443"/>
    <mergeCell ref="A460:A461"/>
    <mergeCell ref="A458:A459"/>
    <mergeCell ref="A2408:A2409"/>
    <mergeCell ref="D551:D552"/>
    <mergeCell ref="B433:D433"/>
    <mergeCell ref="A436:A437"/>
    <mergeCell ref="A197:A198"/>
    <mergeCell ref="B197:B198"/>
    <mergeCell ref="D197:D198"/>
    <mergeCell ref="E197:E198"/>
    <mergeCell ref="A199:A200"/>
    <mergeCell ref="B199:B200"/>
    <mergeCell ref="D199:D200"/>
    <mergeCell ref="E199:E200"/>
    <mergeCell ref="A214:A215"/>
    <mergeCell ref="B214:B215"/>
    <mergeCell ref="D214:D215"/>
    <mergeCell ref="E214:E215"/>
    <mergeCell ref="A216:A217"/>
    <mergeCell ref="B216:B217"/>
    <mergeCell ref="D216:D217"/>
    <mergeCell ref="E216:E217"/>
    <mergeCell ref="A288:A289"/>
    <mergeCell ref="B288:B289"/>
    <mergeCell ref="D418:D419"/>
    <mergeCell ref="E418:E419"/>
    <mergeCell ref="A420:A421"/>
    <mergeCell ref="B420:B421"/>
    <mergeCell ref="D420:D421"/>
    <mergeCell ref="D303:D304"/>
    <mergeCell ref="E303:E304"/>
    <mergeCell ref="D267:D268"/>
    <mergeCell ref="D269:D270"/>
    <mergeCell ref="E267:E268"/>
    <mergeCell ref="E269:E270"/>
    <mergeCell ref="A418:A419"/>
    <mergeCell ref="E145:E146"/>
    <mergeCell ref="E143:E144"/>
    <mergeCell ref="B143:B144"/>
    <mergeCell ref="B145:B146"/>
    <mergeCell ref="A143:A144"/>
    <mergeCell ref="A145:A146"/>
    <mergeCell ref="D143:D144"/>
    <mergeCell ref="D145:D146"/>
    <mergeCell ref="A231:A232"/>
    <mergeCell ref="B231:B232"/>
    <mergeCell ref="D231:D232"/>
    <mergeCell ref="E231:E232"/>
    <mergeCell ref="A246:A247"/>
    <mergeCell ref="B246:B247"/>
    <mergeCell ref="D246:D247"/>
    <mergeCell ref="E246:E247"/>
    <mergeCell ref="E180:E181"/>
    <mergeCell ref="A163:A164"/>
    <mergeCell ref="B163:B164"/>
    <mergeCell ref="A165:A166"/>
    <mergeCell ref="A182:A183"/>
    <mergeCell ref="B418:B419"/>
    <mergeCell ref="B335:B336"/>
    <mergeCell ref="A335:A336"/>
    <mergeCell ref="E335:E336"/>
    <mergeCell ref="D335:D336"/>
    <mergeCell ref="B337:B338"/>
    <mergeCell ref="D337:D338"/>
    <mergeCell ref="B339:B340"/>
    <mergeCell ref="D339:D340"/>
    <mergeCell ref="A339:A340"/>
    <mergeCell ref="E551:E552"/>
    <mergeCell ref="A549:A550"/>
    <mergeCell ref="B549:B550"/>
    <mergeCell ref="D549:D550"/>
    <mergeCell ref="D586:D587"/>
    <mergeCell ref="E586:E587"/>
    <mergeCell ref="A628:A629"/>
    <mergeCell ref="B628:B629"/>
    <mergeCell ref="D628:D629"/>
    <mergeCell ref="E628:E629"/>
    <mergeCell ref="A584:A585"/>
    <mergeCell ref="B586:B587"/>
    <mergeCell ref="A586:A587"/>
    <mergeCell ref="B267:B268"/>
    <mergeCell ref="E305:E306"/>
    <mergeCell ref="D288:D289"/>
    <mergeCell ref="E288:E289"/>
    <mergeCell ref="B271:B272"/>
    <mergeCell ref="B303:B304"/>
    <mergeCell ref="E320:E321"/>
    <mergeCell ref="B273:B274"/>
    <mergeCell ref="D273:D274"/>
    <mergeCell ref="A305:A306"/>
    <mergeCell ref="B305:B306"/>
    <mergeCell ref="D305:D306"/>
    <mergeCell ref="E273:E274"/>
    <mergeCell ref="A320:A321"/>
    <mergeCell ref="B320:B321"/>
    <mergeCell ref="D442:D443"/>
    <mergeCell ref="B458:B459"/>
    <mergeCell ref="D458:D459"/>
    <mergeCell ref="E420:E421"/>
    <mergeCell ref="B1889:C1889"/>
    <mergeCell ref="B1875:B1876"/>
    <mergeCell ref="D1875:D1876"/>
    <mergeCell ref="E1875:E1876"/>
    <mergeCell ref="A1526:A1527"/>
    <mergeCell ref="B1526:B1527"/>
    <mergeCell ref="D1526:D1527"/>
    <mergeCell ref="E1526:E1527"/>
    <mergeCell ref="A1486:A1487"/>
    <mergeCell ref="B1486:B1487"/>
    <mergeCell ref="D1486:D1487"/>
    <mergeCell ref="E1486:E1487"/>
    <mergeCell ref="E1488:E1489"/>
    <mergeCell ref="B1488:B1489"/>
    <mergeCell ref="A1488:A1489"/>
    <mergeCell ref="B1595:D1595"/>
    <mergeCell ref="A1597:A1598"/>
    <mergeCell ref="B1597:B1598"/>
    <mergeCell ref="D1597:D1598"/>
    <mergeCell ref="E1597:E1598"/>
    <mergeCell ref="D1633:D1634"/>
    <mergeCell ref="E1633:E1634"/>
    <mergeCell ref="A1635:A1636"/>
    <mergeCell ref="B1635:B1636"/>
    <mergeCell ref="D1635:D1636"/>
    <mergeCell ref="E1635:E1636"/>
    <mergeCell ref="E1545:E1546"/>
    <mergeCell ref="A1547:A1548"/>
    <mergeCell ref="A1629:A1630"/>
    <mergeCell ref="E1657:E1658"/>
    <mergeCell ref="A1659:A1660"/>
    <mergeCell ref="B1659:B1660"/>
    <mergeCell ref="B1871:D1871"/>
    <mergeCell ref="A1873:A1874"/>
    <mergeCell ref="B1873:B1874"/>
    <mergeCell ref="A1344:A1345"/>
    <mergeCell ref="B1344:B1345"/>
    <mergeCell ref="A1353:A1354"/>
    <mergeCell ref="D1639:D1640"/>
    <mergeCell ref="E1639:E1640"/>
    <mergeCell ref="A1641:A1642"/>
    <mergeCell ref="B1641:B1642"/>
    <mergeCell ref="D1641:D1642"/>
    <mergeCell ref="E2279:E2280"/>
    <mergeCell ref="A2283:A2284"/>
    <mergeCell ref="B2283:B2284"/>
    <mergeCell ref="D2281:D2282"/>
    <mergeCell ref="E2281:E2282"/>
    <mergeCell ref="D2047:D2048"/>
    <mergeCell ref="E2047:E2048"/>
    <mergeCell ref="D2065:D2066"/>
    <mergeCell ref="E2065:E2066"/>
    <mergeCell ref="E2071:E2072"/>
    <mergeCell ref="E2073:E2074"/>
    <mergeCell ref="B2090:D2090"/>
    <mergeCell ref="B2071:B2072"/>
    <mergeCell ref="B2279:B2280"/>
    <mergeCell ref="B2127:D2127"/>
    <mergeCell ref="A2129:A2130"/>
    <mergeCell ref="B2129:B2130"/>
    <mergeCell ref="A2131:A2132"/>
    <mergeCell ref="B2131:B2132"/>
    <mergeCell ref="B2073:B2074"/>
    <mergeCell ref="E1462:E1463"/>
    <mergeCell ref="A2182:A2183"/>
    <mergeCell ref="B2182:B2183"/>
    <mergeCell ref="B2047:B2048"/>
    <mergeCell ref="B2065:B2066"/>
    <mergeCell ref="E2129:E2130"/>
    <mergeCell ref="A2069:A2070"/>
    <mergeCell ref="B2069:B2070"/>
    <mergeCell ref="D2069:D2070"/>
    <mergeCell ref="E2069:E2070"/>
    <mergeCell ref="E2067:E2068"/>
    <mergeCell ref="E2174:E2175"/>
    <mergeCell ref="E2847:E2848"/>
    <mergeCell ref="B2444:B2445"/>
    <mergeCell ref="D2442:D2443"/>
    <mergeCell ref="D2444:D2445"/>
    <mergeCell ref="E2444:E2445"/>
    <mergeCell ref="D2368:D2369"/>
    <mergeCell ref="E2350:E2351"/>
    <mergeCell ref="D2459:D2460"/>
    <mergeCell ref="D2461:D2462"/>
    <mergeCell ref="E2302:E2303"/>
    <mergeCell ref="A2304:A2305"/>
    <mergeCell ref="B2304:B2305"/>
    <mergeCell ref="B2408:B2409"/>
    <mergeCell ref="D2408:D2409"/>
    <mergeCell ref="E2408:E2409"/>
    <mergeCell ref="B2389:B2390"/>
    <mergeCell ref="B2345:D2345"/>
    <mergeCell ref="A2248:A2249"/>
    <mergeCell ref="B2265:D2265"/>
    <mergeCell ref="A2267:A2268"/>
    <mergeCell ref="D2604:D2605"/>
    <mergeCell ref="D2983:D2984"/>
    <mergeCell ref="D2985:D2986"/>
    <mergeCell ref="E2983:E2984"/>
    <mergeCell ref="B2892:B2893"/>
    <mergeCell ref="D2892:D2893"/>
    <mergeCell ref="E2892:E2893"/>
    <mergeCell ref="E2442:E2443"/>
    <mergeCell ref="A2812:A2813"/>
    <mergeCell ref="D2847:D2848"/>
    <mergeCell ref="A2894:A2895"/>
    <mergeCell ref="B2894:B2895"/>
    <mergeCell ref="B2943:D2943"/>
    <mergeCell ref="B2985:B2986"/>
    <mergeCell ref="B2983:B2984"/>
    <mergeCell ref="A2983:A2984"/>
    <mergeCell ref="A2985:A2986"/>
    <mergeCell ref="B2673:D2673"/>
    <mergeCell ref="A2676:A2677"/>
    <mergeCell ref="B2676:B2677"/>
    <mergeCell ref="D2676:D2677"/>
    <mergeCell ref="E2810:E2811"/>
    <mergeCell ref="B2812:B2813"/>
    <mergeCell ref="A2767:A2768"/>
    <mergeCell ref="A2747:A2748"/>
    <mergeCell ref="B2747:B2748"/>
    <mergeCell ref="D2747:D2748"/>
    <mergeCell ref="B2657:D2657"/>
    <mergeCell ref="B2907:C2907"/>
    <mergeCell ref="B2909:B2910"/>
    <mergeCell ref="A2911:A2912"/>
    <mergeCell ref="E2767:E2768"/>
    <mergeCell ref="E2676:E2677"/>
    <mergeCell ref="A3289:A3290"/>
    <mergeCell ref="A3287:A3288"/>
    <mergeCell ref="E3287:E3288"/>
    <mergeCell ref="E3289:E3290"/>
    <mergeCell ref="D3287:D3288"/>
    <mergeCell ref="D3289:D3290"/>
    <mergeCell ref="A3074:H3074"/>
    <mergeCell ref="B3075:D3075"/>
    <mergeCell ref="A3079:A3080"/>
    <mergeCell ref="B3079:B3080"/>
    <mergeCell ref="D3079:D3080"/>
    <mergeCell ref="E3079:E3080"/>
    <mergeCell ref="A3081:A3082"/>
    <mergeCell ref="B3081:B3082"/>
    <mergeCell ref="D3081:D3082"/>
    <mergeCell ref="E3081:E3082"/>
    <mergeCell ref="B3203:B3204"/>
    <mergeCell ref="A3203:A3204"/>
    <mergeCell ref="D3203:D3204"/>
    <mergeCell ref="E3203:E3204"/>
    <mergeCell ref="A3266:A3267"/>
    <mergeCell ref="B3266:B3267"/>
    <mergeCell ref="D3266:D3267"/>
    <mergeCell ref="E3266:E3267"/>
    <mergeCell ref="A3184:H3184"/>
    <mergeCell ref="A3236:H3236"/>
    <mergeCell ref="A3217:H3217"/>
    <mergeCell ref="A3255:H3255"/>
    <mergeCell ref="B3256:C3256"/>
    <mergeCell ref="A3264:A3265"/>
    <mergeCell ref="B3264:B3265"/>
    <mergeCell ref="D3264:D3265"/>
    <mergeCell ref="E2909:E2910"/>
    <mergeCell ref="A2909:A2910"/>
    <mergeCell ref="B2844:D2844"/>
    <mergeCell ref="A2849:A2850"/>
    <mergeCell ref="B2849:B2850"/>
    <mergeCell ref="D2849:D2850"/>
    <mergeCell ref="E2849:E2850"/>
    <mergeCell ref="B2113:B2114"/>
    <mergeCell ref="D2113:D2114"/>
    <mergeCell ref="E2113:E2114"/>
    <mergeCell ref="D2812:D2813"/>
    <mergeCell ref="E2812:E2813"/>
    <mergeCell ref="A2113:A2114"/>
    <mergeCell ref="A2800:H2800"/>
    <mergeCell ref="B2801:D2801"/>
    <mergeCell ref="A2810:A2811"/>
    <mergeCell ref="B2810:B2811"/>
    <mergeCell ref="B2387:B2388"/>
    <mergeCell ref="A2387:A2388"/>
    <mergeCell ref="A2389:A2390"/>
    <mergeCell ref="A2391:A2392"/>
    <mergeCell ref="A2393:A2394"/>
    <mergeCell ref="D2387:D2388"/>
    <mergeCell ref="D2389:D2390"/>
    <mergeCell ref="A2366:A2367"/>
    <mergeCell ref="A2385:A2386"/>
    <mergeCell ref="D2385:D2386"/>
    <mergeCell ref="B2530:D2530"/>
    <mergeCell ref="A2548:A2549"/>
    <mergeCell ref="E2383:E2384"/>
    <mergeCell ref="B2385:B2386"/>
    <mergeCell ref="D2810:D2811"/>
    <mergeCell ref="A2913:A2914"/>
    <mergeCell ref="B2425:E2425"/>
    <mergeCell ref="B2383:B2384"/>
    <mergeCell ref="A2383:A2384"/>
    <mergeCell ref="B2350:B2351"/>
    <mergeCell ref="A2350:A2351"/>
    <mergeCell ref="D2393:D2394"/>
    <mergeCell ref="B3320:C3320"/>
    <mergeCell ref="B3168:C3168"/>
    <mergeCell ref="A2869:A2870"/>
    <mergeCell ref="B2869:B2870"/>
    <mergeCell ref="D2869:D2870"/>
    <mergeCell ref="E2869:E2870"/>
    <mergeCell ref="A2871:A2872"/>
    <mergeCell ref="B2871:B2872"/>
    <mergeCell ref="D2871:D2872"/>
    <mergeCell ref="E2871:E2872"/>
    <mergeCell ref="B3307:B3308"/>
    <mergeCell ref="B2998:D2998"/>
    <mergeCell ref="D2875:D2876"/>
    <mergeCell ref="A3205:A3206"/>
    <mergeCell ref="B3205:B3206"/>
    <mergeCell ref="D3205:D3206"/>
    <mergeCell ref="E3205:E3206"/>
    <mergeCell ref="B3302:C3302"/>
    <mergeCell ref="A3305:A3306"/>
    <mergeCell ref="B3305:B3306"/>
    <mergeCell ref="D3305:D3306"/>
    <mergeCell ref="D3307:D3308"/>
    <mergeCell ref="B2911:B2912"/>
    <mergeCell ref="D2909:D2910"/>
    <mergeCell ref="D2911:D2912"/>
    <mergeCell ref="E2911:E2912"/>
    <mergeCell ref="D2894:D2895"/>
    <mergeCell ref="B2873:B2874"/>
    <mergeCell ref="A2873:A2874"/>
    <mergeCell ref="D2873:D2874"/>
    <mergeCell ref="E2913:E2914"/>
    <mergeCell ref="E3305:E3306"/>
    <mergeCell ref="A3307:A3308"/>
    <mergeCell ref="A2151:A2152"/>
    <mergeCell ref="B2151:B2152"/>
    <mergeCell ref="D2151:D2152"/>
    <mergeCell ref="E2151:E2152"/>
    <mergeCell ref="A2049:A2050"/>
    <mergeCell ref="B2049:B2050"/>
    <mergeCell ref="D2049:D2050"/>
    <mergeCell ref="E2049:E2050"/>
    <mergeCell ref="D2129:D2130"/>
    <mergeCell ref="D2131:D2132"/>
    <mergeCell ref="E2131:E2132"/>
    <mergeCell ref="A2133:A2134"/>
    <mergeCell ref="B2133:B2134"/>
    <mergeCell ref="D2133:D2134"/>
    <mergeCell ref="E2133:E2134"/>
    <mergeCell ref="E3307:E3308"/>
    <mergeCell ref="A3278:H3278"/>
    <mergeCell ref="B3279:C3279"/>
    <mergeCell ref="B3287:B3288"/>
    <mergeCell ref="B3289:B3290"/>
    <mergeCell ref="E2459:E2460"/>
    <mergeCell ref="E2461:E2462"/>
    <mergeCell ref="B2442:B2443"/>
    <mergeCell ref="E2306:E2307"/>
    <mergeCell ref="B2913:B2914"/>
    <mergeCell ref="D2913:D2914"/>
    <mergeCell ref="B2063:C2063"/>
    <mergeCell ref="A2065:A2066"/>
    <mergeCell ref="B2767:B2768"/>
    <mergeCell ref="D2767:D2768"/>
    <mergeCell ref="E2366:E2367"/>
    <mergeCell ref="E2368:E2369"/>
    <mergeCell ref="B2366:B2367"/>
    <mergeCell ref="B2302:B2303"/>
    <mergeCell ref="D2302:D2303"/>
    <mergeCell ref="D2312:D2313"/>
    <mergeCell ref="E2312:E2313"/>
    <mergeCell ref="D2304:D2305"/>
    <mergeCell ref="E2304:E2305"/>
    <mergeCell ref="D2310:D2311"/>
    <mergeCell ref="D2332:D2333"/>
    <mergeCell ref="A2275:A2276"/>
    <mergeCell ref="B2275:B2276"/>
    <mergeCell ref="D2275:D2276"/>
    <mergeCell ref="E2275:E2276"/>
    <mergeCell ref="A2308:A2309"/>
    <mergeCell ref="B2308:B2309"/>
    <mergeCell ref="D2308:D2309"/>
    <mergeCell ref="A2306:A2307"/>
    <mergeCell ref="B2306:B2307"/>
    <mergeCell ref="A2277:A2278"/>
    <mergeCell ref="B2277:B2278"/>
    <mergeCell ref="D2277:D2278"/>
    <mergeCell ref="E2277:E2278"/>
    <mergeCell ref="A2279:A2280"/>
    <mergeCell ref="A2410:A2411"/>
    <mergeCell ref="A337:A338"/>
    <mergeCell ref="E339:E340"/>
    <mergeCell ref="E337:E338"/>
    <mergeCell ref="B341:B342"/>
    <mergeCell ref="A341:A342"/>
    <mergeCell ref="E341:E342"/>
    <mergeCell ref="B343:B344"/>
    <mergeCell ref="A343:A344"/>
    <mergeCell ref="D341:D342"/>
    <mergeCell ref="D343:D344"/>
    <mergeCell ref="E343:E344"/>
    <mergeCell ref="A400:A401"/>
    <mergeCell ref="B400:B401"/>
    <mergeCell ref="D400:D401"/>
    <mergeCell ref="E400:E401"/>
    <mergeCell ref="A402:A403"/>
    <mergeCell ref="B402:B403"/>
    <mergeCell ref="D402:D403"/>
    <mergeCell ref="E402:E403"/>
    <mergeCell ref="D687:D688"/>
    <mergeCell ref="A736:A737"/>
    <mergeCell ref="E736:E737"/>
    <mergeCell ref="A645:A646"/>
    <mergeCell ref="A567:A568"/>
    <mergeCell ref="B567:B568"/>
    <mergeCell ref="A551:A552"/>
    <mergeCell ref="B551:B552"/>
    <mergeCell ref="D567:D568"/>
    <mergeCell ref="E567:E568"/>
    <mergeCell ref="B2092:B2093"/>
    <mergeCell ref="D2092:D2093"/>
    <mergeCell ref="E2092:E2093"/>
    <mergeCell ref="A2094:A2095"/>
    <mergeCell ref="B2094:B2095"/>
    <mergeCell ref="D345:D346"/>
    <mergeCell ref="E345:E346"/>
    <mergeCell ref="A345:A346"/>
    <mergeCell ref="B347:B348"/>
    <mergeCell ref="A347:A348"/>
    <mergeCell ref="D347:D348"/>
    <mergeCell ref="E347:E348"/>
    <mergeCell ref="E349:E350"/>
    <mergeCell ref="D349:D350"/>
    <mergeCell ref="B349:B350"/>
    <mergeCell ref="A349:A350"/>
    <mergeCell ref="E351:E352"/>
    <mergeCell ref="D351:D352"/>
    <mergeCell ref="B731:B732"/>
    <mergeCell ref="C731:C732"/>
    <mergeCell ref="D731:D732"/>
    <mergeCell ref="B345:B346"/>
    <mergeCell ref="D1289:D1290"/>
    <mergeCell ref="E1289:E1290"/>
    <mergeCell ref="A1325:A1326"/>
    <mergeCell ref="B1325:B1326"/>
    <mergeCell ref="A1308:A1309"/>
    <mergeCell ref="B1308:B1309"/>
    <mergeCell ref="D1308:D1309"/>
    <mergeCell ref="A1346:A1347"/>
    <mergeCell ref="B1569:B1570"/>
    <mergeCell ref="D1569:D1570"/>
    <mergeCell ref="E1569:E1570"/>
    <mergeCell ref="A1571:A1572"/>
    <mergeCell ref="B1571:B1572"/>
    <mergeCell ref="D1571:D1572"/>
    <mergeCell ref="E1571:E1572"/>
    <mergeCell ref="A1573:A1574"/>
    <mergeCell ref="B1573:B1574"/>
    <mergeCell ref="D1573:D1574"/>
    <mergeCell ref="B1547:B1548"/>
    <mergeCell ref="E1348:E1349"/>
    <mergeCell ref="A1464:A1465"/>
    <mergeCell ref="B1464:B1465"/>
    <mergeCell ref="B2267:B2268"/>
    <mergeCell ref="D2267:D2268"/>
    <mergeCell ref="E2267:E2268"/>
    <mergeCell ref="A2269:A2270"/>
    <mergeCell ref="B2269:B2270"/>
    <mergeCell ref="D2269:D2270"/>
    <mergeCell ref="E2269:E2270"/>
    <mergeCell ref="D2306:D2307"/>
    <mergeCell ref="B1567:D1567"/>
    <mergeCell ref="A1569:A1570"/>
    <mergeCell ref="A2180:A2181"/>
    <mergeCell ref="B2180:B2181"/>
    <mergeCell ref="D2180:D2181"/>
    <mergeCell ref="E2180:E2181"/>
    <mergeCell ref="A1625:A1626"/>
    <mergeCell ref="B1625:B1626"/>
    <mergeCell ref="D1625:D1626"/>
    <mergeCell ref="E1625:E1626"/>
    <mergeCell ref="A1627:A1628"/>
    <mergeCell ref="B1627:B1628"/>
    <mergeCell ref="D1627:D1628"/>
    <mergeCell ref="E1627:E1628"/>
    <mergeCell ref="A1633:A1634"/>
    <mergeCell ref="B1633:B1634"/>
    <mergeCell ref="E2176:E2177"/>
    <mergeCell ref="A1637:A1638"/>
    <mergeCell ref="D1637:D1638"/>
    <mergeCell ref="E1637:E1638"/>
    <mergeCell ref="A1639:A1640"/>
    <mergeCell ref="B1639:B1640"/>
    <mergeCell ref="E1641:E1642"/>
    <mergeCell ref="B1629:B1630"/>
    <mergeCell ref="E2169:E2170"/>
    <mergeCell ref="A2174:A2175"/>
    <mergeCell ref="B2174:B2175"/>
    <mergeCell ref="A2176:A2177"/>
    <mergeCell ref="B2176:B2177"/>
    <mergeCell ref="D2174:D2175"/>
    <mergeCell ref="A1953:A1954"/>
    <mergeCell ref="B1953:B1954"/>
    <mergeCell ref="D1953:D1954"/>
    <mergeCell ref="E1953:E1954"/>
    <mergeCell ref="A1969:A1970"/>
    <mergeCell ref="B1969:B1970"/>
    <mergeCell ref="D1969:D1970"/>
    <mergeCell ref="E1969:E1970"/>
    <mergeCell ref="A1971:A1972"/>
    <mergeCell ref="B1971:B1972"/>
    <mergeCell ref="D1971:D1972"/>
    <mergeCell ref="E1971:E1972"/>
    <mergeCell ref="D2176:D2177"/>
    <mergeCell ref="A2092:A2093"/>
    <mergeCell ref="A1064:A1065"/>
    <mergeCell ref="B1064:B1065"/>
    <mergeCell ref="D1064:D1065"/>
    <mergeCell ref="E1064:E1065"/>
    <mergeCell ref="A1066:A1067"/>
    <mergeCell ref="B1066:B1067"/>
    <mergeCell ref="D1629:D1630"/>
    <mergeCell ref="E1629:E1630"/>
    <mergeCell ref="A1631:A1632"/>
    <mergeCell ref="B1631:B1632"/>
    <mergeCell ref="D1631:D1632"/>
    <mergeCell ref="E1631:E1632"/>
    <mergeCell ref="B1637:B1638"/>
    <mergeCell ref="D2094:D2095"/>
    <mergeCell ref="E2094:E2095"/>
    <mergeCell ref="D2067:D2068"/>
    <mergeCell ref="A2009:A2010"/>
    <mergeCell ref="B2009:B2010"/>
    <mergeCell ref="D2009:D2010"/>
    <mergeCell ref="E2009:E2010"/>
    <mergeCell ref="A1368:A1369"/>
    <mergeCell ref="B1368:B1369"/>
    <mergeCell ref="D1368:D1369"/>
    <mergeCell ref="D1193:D1194"/>
    <mergeCell ref="E1193:E1194"/>
    <mergeCell ref="A1195:A1196"/>
    <mergeCell ref="B1195:B1196"/>
    <mergeCell ref="D1195:D1196"/>
    <mergeCell ref="E1195:E1196"/>
    <mergeCell ref="A1212:A1213"/>
    <mergeCell ref="B1212:B1213"/>
    <mergeCell ref="A2071:A2072"/>
    <mergeCell ref="D1212:D1213"/>
    <mergeCell ref="A1193:A1194"/>
    <mergeCell ref="B1193:B1194"/>
    <mergeCell ref="E1212:E1213"/>
    <mergeCell ref="A1214:A1215"/>
    <mergeCell ref="B95:D95"/>
    <mergeCell ref="B110:D110"/>
    <mergeCell ref="B2165:D2165"/>
    <mergeCell ref="A2167:A2168"/>
    <mergeCell ref="B2167:B2168"/>
    <mergeCell ref="D2167:D2168"/>
    <mergeCell ref="E2167:E2168"/>
    <mergeCell ref="E1484:E1485"/>
    <mergeCell ref="B1460:D1460"/>
    <mergeCell ref="A1462:A1463"/>
    <mergeCell ref="B1462:B1463"/>
    <mergeCell ref="D1462:D1463"/>
    <mergeCell ref="A1387:A1388"/>
    <mergeCell ref="B1387:B1388"/>
    <mergeCell ref="D1387:D1388"/>
    <mergeCell ref="E1387:E1388"/>
    <mergeCell ref="A1389:A1390"/>
    <mergeCell ref="E1464:E1465"/>
    <mergeCell ref="A1522:A1523"/>
    <mergeCell ref="B1522:B1523"/>
    <mergeCell ref="D1522:D1523"/>
    <mergeCell ref="A1551:A1552"/>
    <mergeCell ref="B1551:B1552"/>
    <mergeCell ref="D1428:D1429"/>
    <mergeCell ref="E1428:E1429"/>
    <mergeCell ref="A1233:A1234"/>
    <mergeCell ref="B1233:B1234"/>
    <mergeCell ref="D1233:D1234"/>
    <mergeCell ref="D1066:D1067"/>
    <mergeCell ref="E1066:E1067"/>
    <mergeCell ref="A1155:A1156"/>
    <mergeCell ref="B1155:B1156"/>
    <mergeCell ref="D1155:D1156"/>
    <mergeCell ref="E1155:E1156"/>
    <mergeCell ref="A1157:A1158"/>
    <mergeCell ref="B1157:B1158"/>
    <mergeCell ref="D1157:D1158"/>
    <mergeCell ref="E1157:E1158"/>
    <mergeCell ref="A1174:A1175"/>
    <mergeCell ref="B1174:B1175"/>
    <mergeCell ref="D1174:D1175"/>
    <mergeCell ref="E1174:E1175"/>
    <mergeCell ref="A1176:A1177"/>
    <mergeCell ref="B1176:B1177"/>
    <mergeCell ref="D1176:D1177"/>
    <mergeCell ref="E1176:E1177"/>
    <mergeCell ref="B1119:B1120"/>
    <mergeCell ref="D1119:D1120"/>
    <mergeCell ref="E1119:E1120"/>
    <mergeCell ref="A1136:A1137"/>
    <mergeCell ref="B1136:B1137"/>
    <mergeCell ref="D1136:D1137"/>
    <mergeCell ref="E1136:E1137"/>
    <mergeCell ref="A1138:A1139"/>
    <mergeCell ref="B1138:B1139"/>
    <mergeCell ref="D1138:D1139"/>
    <mergeCell ref="E1138:E1139"/>
    <mergeCell ref="A1083:A1084"/>
    <mergeCell ref="B1083:B1084"/>
    <mergeCell ref="D1083:D1084"/>
    <mergeCell ref="A2186:A2187"/>
    <mergeCell ref="B2186:B2187"/>
    <mergeCell ref="D2186:D2187"/>
    <mergeCell ref="B1214:B1215"/>
    <mergeCell ref="D1214:D1215"/>
    <mergeCell ref="E1214:E1215"/>
    <mergeCell ref="A1231:A1232"/>
    <mergeCell ref="B1231:B1232"/>
    <mergeCell ref="A1599:A1600"/>
    <mergeCell ref="B1599:B1600"/>
    <mergeCell ref="D1599:D1600"/>
    <mergeCell ref="E1599:E1600"/>
    <mergeCell ref="A1601:A1602"/>
    <mergeCell ref="B1601:B1602"/>
    <mergeCell ref="D1601:D1602"/>
    <mergeCell ref="E1601:E1602"/>
    <mergeCell ref="A1603:A1604"/>
    <mergeCell ref="B1603:B1604"/>
    <mergeCell ref="D1603:D1604"/>
    <mergeCell ref="E1603:E1604"/>
    <mergeCell ref="E1547:E1548"/>
    <mergeCell ref="A1549:A1550"/>
    <mergeCell ref="B2067:B2068"/>
    <mergeCell ref="A2067:A2068"/>
    <mergeCell ref="D1549:D1550"/>
    <mergeCell ref="E1549:E1550"/>
    <mergeCell ref="B1250:B1251"/>
    <mergeCell ref="D1250:D1251"/>
    <mergeCell ref="E1231:E1232"/>
    <mergeCell ref="E1233:E1234"/>
    <mergeCell ref="A1250:A1251"/>
    <mergeCell ref="E3023:E3024"/>
    <mergeCell ref="A1605:A1606"/>
    <mergeCell ref="D1605:D1606"/>
    <mergeCell ref="E1605:E1606"/>
    <mergeCell ref="A1607:A1608"/>
    <mergeCell ref="B1607:B1608"/>
    <mergeCell ref="D1607:D1608"/>
    <mergeCell ref="E1607:E1608"/>
    <mergeCell ref="D2745:D2746"/>
    <mergeCell ref="E2745:E2746"/>
    <mergeCell ref="A1609:A1610"/>
    <mergeCell ref="B1609:B1610"/>
    <mergeCell ref="D1609:D1610"/>
    <mergeCell ref="E1609:E1610"/>
    <mergeCell ref="B2600:D2600"/>
    <mergeCell ref="A2602:A2603"/>
    <mergeCell ref="B2602:B2603"/>
    <mergeCell ref="D2602:D2603"/>
    <mergeCell ref="E2602:E2603"/>
    <mergeCell ref="A2604:A2605"/>
    <mergeCell ref="E2604:E2605"/>
    <mergeCell ref="B2619:D2619"/>
    <mergeCell ref="A2621:A2622"/>
    <mergeCell ref="B2621:B2622"/>
    <mergeCell ref="D2621:D2622"/>
    <mergeCell ref="E2621:E2622"/>
    <mergeCell ref="D2182:D2183"/>
    <mergeCell ref="E2182:E2183"/>
    <mergeCell ref="A1893:A1894"/>
    <mergeCell ref="A2169:A2170"/>
    <mergeCell ref="B2169:B2170"/>
    <mergeCell ref="D2169:D2170"/>
    <mergeCell ref="E1250:E1251"/>
    <mergeCell ref="A1252:A1253"/>
    <mergeCell ref="B1252:B1253"/>
    <mergeCell ref="D1252:D1253"/>
    <mergeCell ref="E1252:E1253"/>
    <mergeCell ref="D1231:D1232"/>
    <mergeCell ref="D1551:D1552"/>
    <mergeCell ref="E1551:E1552"/>
    <mergeCell ref="A1553:A1554"/>
    <mergeCell ref="B1553:B1554"/>
    <mergeCell ref="D1553:D1554"/>
    <mergeCell ref="E1553:E1554"/>
    <mergeCell ref="B1539:D1539"/>
    <mergeCell ref="A1541:A1542"/>
    <mergeCell ref="B1541:B1542"/>
    <mergeCell ref="D1541:D1542"/>
    <mergeCell ref="E1541:E1542"/>
    <mergeCell ref="A1543:A1544"/>
    <mergeCell ref="B1543:B1544"/>
    <mergeCell ref="D1543:D1544"/>
    <mergeCell ref="E1543:E1544"/>
    <mergeCell ref="A1545:A1546"/>
    <mergeCell ref="B1545:B1546"/>
    <mergeCell ref="D1545:D1546"/>
    <mergeCell ref="E1522:E1523"/>
    <mergeCell ref="A1469:A1470"/>
    <mergeCell ref="B1469:B1470"/>
    <mergeCell ref="D1469:D1470"/>
    <mergeCell ref="E1469:E1470"/>
    <mergeCell ref="B1482:C1482"/>
    <mergeCell ref="A1484:A1485"/>
    <mergeCell ref="D1547:D1548"/>
    <mergeCell ref="A2725:A2726"/>
    <mergeCell ref="B2725:B2726"/>
    <mergeCell ref="D2725:D2726"/>
    <mergeCell ref="E2725:E2726"/>
    <mergeCell ref="B2743:D2743"/>
    <mergeCell ref="A2745:A2746"/>
    <mergeCell ref="B2745:B2746"/>
    <mergeCell ref="A2623:A2624"/>
    <mergeCell ref="B2623:B2624"/>
    <mergeCell ref="D2623:D2624"/>
    <mergeCell ref="E2623:E2624"/>
    <mergeCell ref="B2721:D2721"/>
    <mergeCell ref="A2723:A2724"/>
    <mergeCell ref="B2723:B2724"/>
    <mergeCell ref="D2723:D2724"/>
    <mergeCell ref="A3042:A3043"/>
    <mergeCell ref="B3042:B3043"/>
    <mergeCell ref="D3042:D3043"/>
    <mergeCell ref="E3042:E3043"/>
    <mergeCell ref="B3040:B3041"/>
    <mergeCell ref="D3040:D3041"/>
    <mergeCell ref="E3040:E3041"/>
    <mergeCell ref="B2961:D2961"/>
    <mergeCell ref="B2926:D2926"/>
    <mergeCell ref="B3017:D3017"/>
    <mergeCell ref="A3021:A3022"/>
    <mergeCell ref="B3021:B3022"/>
    <mergeCell ref="D3021:D3022"/>
    <mergeCell ref="E3021:E3022"/>
    <mergeCell ref="A3023:A3024"/>
    <mergeCell ref="B3023:B3024"/>
    <mergeCell ref="D3023:D3024"/>
    <mergeCell ref="B3056:D3056"/>
    <mergeCell ref="A3060:A3061"/>
    <mergeCell ref="B3060:B3061"/>
    <mergeCell ref="D3060:D3061"/>
    <mergeCell ref="E3060:E3061"/>
    <mergeCell ref="A3062:A3063"/>
    <mergeCell ref="B3062:B3063"/>
    <mergeCell ref="D3062:D3063"/>
    <mergeCell ref="E3062:E3063"/>
    <mergeCell ref="E2186:E2187"/>
    <mergeCell ref="A2188:A2189"/>
    <mergeCell ref="B2188:B2189"/>
    <mergeCell ref="D2188:D2189"/>
    <mergeCell ref="E2188:E2189"/>
    <mergeCell ref="E3264:E3265"/>
    <mergeCell ref="A3100:A3101"/>
    <mergeCell ref="B3100:B3101"/>
    <mergeCell ref="D3100:D3101"/>
    <mergeCell ref="E3100:E3101"/>
    <mergeCell ref="A3111:H3111"/>
    <mergeCell ref="B3112:D3112"/>
    <mergeCell ref="B3128:D3128"/>
    <mergeCell ref="A3093:H3093"/>
    <mergeCell ref="B3094:D3094"/>
    <mergeCell ref="A3098:A3099"/>
    <mergeCell ref="B3098:B3099"/>
    <mergeCell ref="D3098:D3099"/>
    <mergeCell ref="E3098:E3099"/>
    <mergeCell ref="E2723:E2724"/>
    <mergeCell ref="E2747:E2748"/>
    <mergeCell ref="B3036:D3036"/>
    <mergeCell ref="A3040:A3041"/>
  </mergeCells>
  <conditionalFormatting sqref="C22:D22">
    <cfRule type="duplicateValues" dxfId="4" priority="5"/>
  </conditionalFormatting>
  <conditionalFormatting sqref="C21:D21">
    <cfRule type="duplicateValues" dxfId="3" priority="4"/>
  </conditionalFormatting>
  <conditionalFormatting sqref="C23:D23">
    <cfRule type="duplicateValues" dxfId="2" priority="3"/>
  </conditionalFormatting>
  <conditionalFormatting sqref="C24:D24">
    <cfRule type="duplicateValues" dxfId="1" priority="2"/>
  </conditionalFormatting>
  <conditionalFormatting sqref="C25:D25">
    <cfRule type="duplicateValues" dxfId="0" priority="1"/>
  </conditionalFormatting>
  <printOptions horizontalCentered="1"/>
  <pageMargins left="0.19685039370078741" right="0.19685039370078741" top="0.78740157480314965" bottom="0.19685039370078741" header="0" footer="0"/>
  <pageSetup paperSize="9" scale="71" orientation="portrait" horizontalDpi="300" verticalDpi="300" r:id="rId1"/>
  <headerFooter alignWithMargins="0"/>
  <rowBreaks count="21" manualBreakCount="21">
    <brk id="76" max="7" man="1"/>
    <brk id="120" max="7" man="1"/>
    <brk id="2229" max="7" man="1"/>
    <brk id="2452" max="7" man="1"/>
    <brk id="2668" max="7" man="1"/>
    <brk id="2990" max="7" man="1"/>
    <brk id="3232" max="7" man="1"/>
    <brk id="3337" max="7" man="1"/>
    <brk id="3386" max="7" man="1"/>
    <brk id="3439" max="7" man="1"/>
    <brk id="3490" max="7" man="1"/>
    <brk id="3553" max="7" man="1"/>
    <brk id="3647" max="7" man="1"/>
    <brk id="3715" max="7" man="1"/>
    <brk id="3794" max="7" man="1"/>
    <brk id="3868" max="7" man="1"/>
    <brk id="3915" max="7" man="1"/>
    <brk id="3962" max="7" man="1"/>
    <brk id="4019" max="7" man="1"/>
    <brk id="4092" max="7" man="1"/>
    <brk id="4158" max="7" man="1"/>
  </rowBreaks>
  <ignoredErrors>
    <ignoredError sqref="G1349 G644:G646 G809:G811" formula="1"/>
    <ignoredError sqref="J2873:J2876 J2865:J2868 K812 K813:K814 K832:K834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2273"/>
  <sheetViews>
    <sheetView showGridLines="0" view="pageBreakPreview" topLeftCell="A73" zoomScale="115" zoomScaleSheetLayoutView="115" workbookViewId="0">
      <selection activeCell="B86" sqref="B86"/>
    </sheetView>
  </sheetViews>
  <sheetFormatPr defaultRowHeight="10.199999999999999"/>
  <cols>
    <col min="1" max="1" width="11.5546875" style="122" customWidth="1"/>
    <col min="2" max="2" width="36.6640625" style="128" customWidth="1"/>
    <col min="3" max="3" width="6.44140625" style="289" customWidth="1"/>
    <col min="4" max="4" width="6.88671875" style="124" customWidth="1"/>
    <col min="5" max="5" width="8.6640625" style="122" customWidth="1"/>
    <col min="6" max="6" width="12.88671875" style="128" customWidth="1"/>
    <col min="7" max="7" width="16.109375" style="128" customWidth="1"/>
    <col min="8" max="8" width="9.44140625" style="128" customWidth="1"/>
    <col min="9" max="9" width="7.6640625" style="122" customWidth="1"/>
    <col min="10" max="250" width="9.109375" style="122"/>
    <col min="251" max="251" width="5.88671875" style="122" customWidth="1"/>
    <col min="252" max="252" width="50.44140625" style="122" customWidth="1"/>
    <col min="253" max="256" width="7.6640625" style="122" customWidth="1"/>
    <col min="257" max="257" width="10.109375" style="122" customWidth="1"/>
    <col min="258" max="261" width="7.6640625" style="122" customWidth="1"/>
    <col min="262" max="262" width="31.6640625" style="122" bestFit="1" customWidth="1"/>
    <col min="263" max="506" width="9.109375" style="122"/>
    <col min="507" max="507" width="5.88671875" style="122" customWidth="1"/>
    <col min="508" max="508" width="50.44140625" style="122" customWidth="1"/>
    <col min="509" max="512" width="7.6640625" style="122" customWidth="1"/>
    <col min="513" max="513" width="10.109375" style="122" customWidth="1"/>
    <col min="514" max="517" width="7.6640625" style="122" customWidth="1"/>
    <col min="518" max="518" width="31.6640625" style="122" bestFit="1" customWidth="1"/>
    <col min="519" max="762" width="9.109375" style="122"/>
    <col min="763" max="763" width="5.88671875" style="122" customWidth="1"/>
    <col min="764" max="764" width="50.44140625" style="122" customWidth="1"/>
    <col min="765" max="768" width="7.6640625" style="122" customWidth="1"/>
    <col min="769" max="769" width="10.109375" style="122" customWidth="1"/>
    <col min="770" max="773" width="7.6640625" style="122" customWidth="1"/>
    <col min="774" max="774" width="31.6640625" style="122" bestFit="1" customWidth="1"/>
    <col min="775" max="1018" width="9.109375" style="122"/>
    <col min="1019" max="1019" width="5.88671875" style="122" customWidth="1"/>
    <col min="1020" max="1020" width="50.44140625" style="122" customWidth="1"/>
    <col min="1021" max="1024" width="7.6640625" style="122" customWidth="1"/>
    <col min="1025" max="1025" width="10.109375" style="122" customWidth="1"/>
    <col min="1026" max="1029" width="7.6640625" style="122" customWidth="1"/>
    <col min="1030" max="1030" width="31.6640625" style="122" bestFit="1" customWidth="1"/>
    <col min="1031" max="1274" width="9.109375" style="122"/>
    <col min="1275" max="1275" width="5.88671875" style="122" customWidth="1"/>
    <col min="1276" max="1276" width="50.44140625" style="122" customWidth="1"/>
    <col min="1277" max="1280" width="7.6640625" style="122" customWidth="1"/>
    <col min="1281" max="1281" width="10.109375" style="122" customWidth="1"/>
    <col min="1282" max="1285" width="7.6640625" style="122" customWidth="1"/>
    <col min="1286" max="1286" width="31.6640625" style="122" bestFit="1" customWidth="1"/>
    <col min="1287" max="1530" width="9.109375" style="122"/>
    <col min="1531" max="1531" width="5.88671875" style="122" customWidth="1"/>
    <col min="1532" max="1532" width="50.44140625" style="122" customWidth="1"/>
    <col min="1533" max="1536" width="7.6640625" style="122" customWidth="1"/>
    <col min="1537" max="1537" width="10.109375" style="122" customWidth="1"/>
    <col min="1538" max="1541" width="7.6640625" style="122" customWidth="1"/>
    <col min="1542" max="1542" width="31.6640625" style="122" bestFit="1" customWidth="1"/>
    <col min="1543" max="1786" width="9.109375" style="122"/>
    <col min="1787" max="1787" width="5.88671875" style="122" customWidth="1"/>
    <col min="1788" max="1788" width="50.44140625" style="122" customWidth="1"/>
    <col min="1789" max="1792" width="7.6640625" style="122" customWidth="1"/>
    <col min="1793" max="1793" width="10.109375" style="122" customWidth="1"/>
    <col min="1794" max="1797" width="7.6640625" style="122" customWidth="1"/>
    <col min="1798" max="1798" width="31.6640625" style="122" bestFit="1" customWidth="1"/>
    <col min="1799" max="2042" width="9.109375" style="122"/>
    <col min="2043" max="2043" width="5.88671875" style="122" customWidth="1"/>
    <col min="2044" max="2044" width="50.44140625" style="122" customWidth="1"/>
    <col min="2045" max="2048" width="7.6640625" style="122" customWidth="1"/>
    <col min="2049" max="2049" width="10.109375" style="122" customWidth="1"/>
    <col min="2050" max="2053" width="7.6640625" style="122" customWidth="1"/>
    <col min="2054" max="2054" width="31.6640625" style="122" bestFit="1" customWidth="1"/>
    <col min="2055" max="2298" width="9.109375" style="122"/>
    <col min="2299" max="2299" width="5.88671875" style="122" customWidth="1"/>
    <col min="2300" max="2300" width="50.44140625" style="122" customWidth="1"/>
    <col min="2301" max="2304" width="7.6640625" style="122" customWidth="1"/>
    <col min="2305" max="2305" width="10.109375" style="122" customWidth="1"/>
    <col min="2306" max="2309" width="7.6640625" style="122" customWidth="1"/>
    <col min="2310" max="2310" width="31.6640625" style="122" bestFit="1" customWidth="1"/>
    <col min="2311" max="2554" width="9.109375" style="122"/>
    <col min="2555" max="2555" width="5.88671875" style="122" customWidth="1"/>
    <col min="2556" max="2556" width="50.44140625" style="122" customWidth="1"/>
    <col min="2557" max="2560" width="7.6640625" style="122" customWidth="1"/>
    <col min="2561" max="2561" width="10.109375" style="122" customWidth="1"/>
    <col min="2562" max="2565" width="7.6640625" style="122" customWidth="1"/>
    <col min="2566" max="2566" width="31.6640625" style="122" bestFit="1" customWidth="1"/>
    <col min="2567" max="2810" width="9.109375" style="122"/>
    <col min="2811" max="2811" width="5.88671875" style="122" customWidth="1"/>
    <col min="2812" max="2812" width="50.44140625" style="122" customWidth="1"/>
    <col min="2813" max="2816" width="7.6640625" style="122" customWidth="1"/>
    <col min="2817" max="2817" width="10.109375" style="122" customWidth="1"/>
    <col min="2818" max="2821" width="7.6640625" style="122" customWidth="1"/>
    <col min="2822" max="2822" width="31.6640625" style="122" bestFit="1" customWidth="1"/>
    <col min="2823" max="3066" width="9.109375" style="122"/>
    <col min="3067" max="3067" width="5.88671875" style="122" customWidth="1"/>
    <col min="3068" max="3068" width="50.44140625" style="122" customWidth="1"/>
    <col min="3069" max="3072" width="7.6640625" style="122" customWidth="1"/>
    <col min="3073" max="3073" width="10.109375" style="122" customWidth="1"/>
    <col min="3074" max="3077" width="7.6640625" style="122" customWidth="1"/>
    <col min="3078" max="3078" width="31.6640625" style="122" bestFit="1" customWidth="1"/>
    <col min="3079" max="3322" width="9.109375" style="122"/>
    <col min="3323" max="3323" width="5.88671875" style="122" customWidth="1"/>
    <col min="3324" max="3324" width="50.44140625" style="122" customWidth="1"/>
    <col min="3325" max="3328" width="7.6640625" style="122" customWidth="1"/>
    <col min="3329" max="3329" width="10.109375" style="122" customWidth="1"/>
    <col min="3330" max="3333" width="7.6640625" style="122" customWidth="1"/>
    <col min="3334" max="3334" width="31.6640625" style="122" bestFit="1" customWidth="1"/>
    <col min="3335" max="3578" width="9.109375" style="122"/>
    <col min="3579" max="3579" width="5.88671875" style="122" customWidth="1"/>
    <col min="3580" max="3580" width="50.44140625" style="122" customWidth="1"/>
    <col min="3581" max="3584" width="7.6640625" style="122" customWidth="1"/>
    <col min="3585" max="3585" width="10.109375" style="122" customWidth="1"/>
    <col min="3586" max="3589" width="7.6640625" style="122" customWidth="1"/>
    <col min="3590" max="3590" width="31.6640625" style="122" bestFit="1" customWidth="1"/>
    <col min="3591" max="3834" width="9.109375" style="122"/>
    <col min="3835" max="3835" width="5.88671875" style="122" customWidth="1"/>
    <col min="3836" max="3836" width="50.44140625" style="122" customWidth="1"/>
    <col min="3837" max="3840" width="7.6640625" style="122" customWidth="1"/>
    <col min="3841" max="3841" width="10.109375" style="122" customWidth="1"/>
    <col min="3842" max="3845" width="7.6640625" style="122" customWidth="1"/>
    <col min="3846" max="3846" width="31.6640625" style="122" bestFit="1" customWidth="1"/>
    <col min="3847" max="4090" width="9.109375" style="122"/>
    <col min="4091" max="4091" width="5.88671875" style="122" customWidth="1"/>
    <col min="4092" max="4092" width="50.44140625" style="122" customWidth="1"/>
    <col min="4093" max="4096" width="7.6640625" style="122" customWidth="1"/>
    <col min="4097" max="4097" width="10.109375" style="122" customWidth="1"/>
    <col min="4098" max="4101" width="7.6640625" style="122" customWidth="1"/>
    <col min="4102" max="4102" width="31.6640625" style="122" bestFit="1" customWidth="1"/>
    <col min="4103" max="4346" width="9.109375" style="122"/>
    <col min="4347" max="4347" width="5.88671875" style="122" customWidth="1"/>
    <col min="4348" max="4348" width="50.44140625" style="122" customWidth="1"/>
    <col min="4349" max="4352" width="7.6640625" style="122" customWidth="1"/>
    <col min="4353" max="4353" width="10.109375" style="122" customWidth="1"/>
    <col min="4354" max="4357" width="7.6640625" style="122" customWidth="1"/>
    <col min="4358" max="4358" width="31.6640625" style="122" bestFit="1" customWidth="1"/>
    <col min="4359" max="4602" width="9.109375" style="122"/>
    <col min="4603" max="4603" width="5.88671875" style="122" customWidth="1"/>
    <col min="4604" max="4604" width="50.44140625" style="122" customWidth="1"/>
    <col min="4605" max="4608" width="7.6640625" style="122" customWidth="1"/>
    <col min="4609" max="4609" width="10.109375" style="122" customWidth="1"/>
    <col min="4610" max="4613" width="7.6640625" style="122" customWidth="1"/>
    <col min="4614" max="4614" width="31.6640625" style="122" bestFit="1" customWidth="1"/>
    <col min="4615" max="4858" width="9.109375" style="122"/>
    <col min="4859" max="4859" width="5.88671875" style="122" customWidth="1"/>
    <col min="4860" max="4860" width="50.44140625" style="122" customWidth="1"/>
    <col min="4861" max="4864" width="7.6640625" style="122" customWidth="1"/>
    <col min="4865" max="4865" width="10.109375" style="122" customWidth="1"/>
    <col min="4866" max="4869" width="7.6640625" style="122" customWidth="1"/>
    <col min="4870" max="4870" width="31.6640625" style="122" bestFit="1" customWidth="1"/>
    <col min="4871" max="5114" width="9.109375" style="122"/>
    <col min="5115" max="5115" width="5.88671875" style="122" customWidth="1"/>
    <col min="5116" max="5116" width="50.44140625" style="122" customWidth="1"/>
    <col min="5117" max="5120" width="7.6640625" style="122" customWidth="1"/>
    <col min="5121" max="5121" width="10.109375" style="122" customWidth="1"/>
    <col min="5122" max="5125" width="7.6640625" style="122" customWidth="1"/>
    <col min="5126" max="5126" width="31.6640625" style="122" bestFit="1" customWidth="1"/>
    <col min="5127" max="5370" width="9.109375" style="122"/>
    <col min="5371" max="5371" width="5.88671875" style="122" customWidth="1"/>
    <col min="5372" max="5372" width="50.44140625" style="122" customWidth="1"/>
    <col min="5373" max="5376" width="7.6640625" style="122" customWidth="1"/>
    <col min="5377" max="5377" width="10.109375" style="122" customWidth="1"/>
    <col min="5378" max="5381" width="7.6640625" style="122" customWidth="1"/>
    <col min="5382" max="5382" width="31.6640625" style="122" bestFit="1" customWidth="1"/>
    <col min="5383" max="5626" width="9.109375" style="122"/>
    <col min="5627" max="5627" width="5.88671875" style="122" customWidth="1"/>
    <col min="5628" max="5628" width="50.44140625" style="122" customWidth="1"/>
    <col min="5629" max="5632" width="7.6640625" style="122" customWidth="1"/>
    <col min="5633" max="5633" width="10.109375" style="122" customWidth="1"/>
    <col min="5634" max="5637" width="7.6640625" style="122" customWidth="1"/>
    <col min="5638" max="5638" width="31.6640625" style="122" bestFit="1" customWidth="1"/>
    <col min="5639" max="5882" width="9.109375" style="122"/>
    <col min="5883" max="5883" width="5.88671875" style="122" customWidth="1"/>
    <col min="5884" max="5884" width="50.44140625" style="122" customWidth="1"/>
    <col min="5885" max="5888" width="7.6640625" style="122" customWidth="1"/>
    <col min="5889" max="5889" width="10.109375" style="122" customWidth="1"/>
    <col min="5890" max="5893" width="7.6640625" style="122" customWidth="1"/>
    <col min="5894" max="5894" width="31.6640625" style="122" bestFit="1" customWidth="1"/>
    <col min="5895" max="6138" width="9.109375" style="122"/>
    <col min="6139" max="6139" width="5.88671875" style="122" customWidth="1"/>
    <col min="6140" max="6140" width="50.44140625" style="122" customWidth="1"/>
    <col min="6141" max="6144" width="7.6640625" style="122" customWidth="1"/>
    <col min="6145" max="6145" width="10.109375" style="122" customWidth="1"/>
    <col min="6146" max="6149" width="7.6640625" style="122" customWidth="1"/>
    <col min="6150" max="6150" width="31.6640625" style="122" bestFit="1" customWidth="1"/>
    <col min="6151" max="6394" width="9.109375" style="122"/>
    <col min="6395" max="6395" width="5.88671875" style="122" customWidth="1"/>
    <col min="6396" max="6396" width="50.44140625" style="122" customWidth="1"/>
    <col min="6397" max="6400" width="7.6640625" style="122" customWidth="1"/>
    <col min="6401" max="6401" width="10.109375" style="122" customWidth="1"/>
    <col min="6402" max="6405" width="7.6640625" style="122" customWidth="1"/>
    <col min="6406" max="6406" width="31.6640625" style="122" bestFit="1" customWidth="1"/>
    <col min="6407" max="6650" width="9.109375" style="122"/>
    <col min="6651" max="6651" width="5.88671875" style="122" customWidth="1"/>
    <col min="6652" max="6652" width="50.44140625" style="122" customWidth="1"/>
    <col min="6653" max="6656" width="7.6640625" style="122" customWidth="1"/>
    <col min="6657" max="6657" width="10.109375" style="122" customWidth="1"/>
    <col min="6658" max="6661" width="7.6640625" style="122" customWidth="1"/>
    <col min="6662" max="6662" width="31.6640625" style="122" bestFit="1" customWidth="1"/>
    <col min="6663" max="6906" width="9.109375" style="122"/>
    <col min="6907" max="6907" width="5.88671875" style="122" customWidth="1"/>
    <col min="6908" max="6908" width="50.44140625" style="122" customWidth="1"/>
    <col min="6909" max="6912" width="7.6640625" style="122" customWidth="1"/>
    <col min="6913" max="6913" width="10.109375" style="122" customWidth="1"/>
    <col min="6914" max="6917" width="7.6640625" style="122" customWidth="1"/>
    <col min="6918" max="6918" width="31.6640625" style="122" bestFit="1" customWidth="1"/>
    <col min="6919" max="7162" width="9.109375" style="122"/>
    <col min="7163" max="7163" width="5.88671875" style="122" customWidth="1"/>
    <col min="7164" max="7164" width="50.44140625" style="122" customWidth="1"/>
    <col min="7165" max="7168" width="7.6640625" style="122" customWidth="1"/>
    <col min="7169" max="7169" width="10.109375" style="122" customWidth="1"/>
    <col min="7170" max="7173" width="7.6640625" style="122" customWidth="1"/>
    <col min="7174" max="7174" width="31.6640625" style="122" bestFit="1" customWidth="1"/>
    <col min="7175" max="7418" width="9.109375" style="122"/>
    <col min="7419" max="7419" width="5.88671875" style="122" customWidth="1"/>
    <col min="7420" max="7420" width="50.44140625" style="122" customWidth="1"/>
    <col min="7421" max="7424" width="7.6640625" style="122" customWidth="1"/>
    <col min="7425" max="7425" width="10.109375" style="122" customWidth="1"/>
    <col min="7426" max="7429" width="7.6640625" style="122" customWidth="1"/>
    <col min="7430" max="7430" width="31.6640625" style="122" bestFit="1" customWidth="1"/>
    <col min="7431" max="7674" width="9.109375" style="122"/>
    <col min="7675" max="7675" width="5.88671875" style="122" customWidth="1"/>
    <col min="7676" max="7676" width="50.44140625" style="122" customWidth="1"/>
    <col min="7677" max="7680" width="7.6640625" style="122" customWidth="1"/>
    <col min="7681" max="7681" width="10.109375" style="122" customWidth="1"/>
    <col min="7682" max="7685" width="7.6640625" style="122" customWidth="1"/>
    <col min="7686" max="7686" width="31.6640625" style="122" bestFit="1" customWidth="1"/>
    <col min="7687" max="7930" width="9.109375" style="122"/>
    <col min="7931" max="7931" width="5.88671875" style="122" customWidth="1"/>
    <col min="7932" max="7932" width="50.44140625" style="122" customWidth="1"/>
    <col min="7933" max="7936" width="7.6640625" style="122" customWidth="1"/>
    <col min="7937" max="7937" width="10.109375" style="122" customWidth="1"/>
    <col min="7938" max="7941" width="7.6640625" style="122" customWidth="1"/>
    <col min="7942" max="7942" width="31.6640625" style="122" bestFit="1" customWidth="1"/>
    <col min="7943" max="8186" width="9.109375" style="122"/>
    <col min="8187" max="8187" width="5.88671875" style="122" customWidth="1"/>
    <col min="8188" max="8188" width="50.44140625" style="122" customWidth="1"/>
    <col min="8189" max="8192" width="7.6640625" style="122" customWidth="1"/>
    <col min="8193" max="8193" width="10.109375" style="122" customWidth="1"/>
    <col min="8194" max="8197" width="7.6640625" style="122" customWidth="1"/>
    <col min="8198" max="8198" width="31.6640625" style="122" bestFit="1" customWidth="1"/>
    <col min="8199" max="8442" width="9.109375" style="122"/>
    <col min="8443" max="8443" width="5.88671875" style="122" customWidth="1"/>
    <col min="8444" max="8444" width="50.44140625" style="122" customWidth="1"/>
    <col min="8445" max="8448" width="7.6640625" style="122" customWidth="1"/>
    <col min="8449" max="8449" width="10.109375" style="122" customWidth="1"/>
    <col min="8450" max="8453" width="7.6640625" style="122" customWidth="1"/>
    <col min="8454" max="8454" width="31.6640625" style="122" bestFit="1" customWidth="1"/>
    <col min="8455" max="8698" width="9.109375" style="122"/>
    <col min="8699" max="8699" width="5.88671875" style="122" customWidth="1"/>
    <col min="8700" max="8700" width="50.44140625" style="122" customWidth="1"/>
    <col min="8701" max="8704" width="7.6640625" style="122" customWidth="1"/>
    <col min="8705" max="8705" width="10.109375" style="122" customWidth="1"/>
    <col min="8706" max="8709" width="7.6640625" style="122" customWidth="1"/>
    <col min="8710" max="8710" width="31.6640625" style="122" bestFit="1" customWidth="1"/>
    <col min="8711" max="8954" width="9.109375" style="122"/>
    <col min="8955" max="8955" width="5.88671875" style="122" customWidth="1"/>
    <col min="8956" max="8956" width="50.44140625" style="122" customWidth="1"/>
    <col min="8957" max="8960" width="7.6640625" style="122" customWidth="1"/>
    <col min="8961" max="8961" width="10.109375" style="122" customWidth="1"/>
    <col min="8962" max="8965" width="7.6640625" style="122" customWidth="1"/>
    <col min="8966" max="8966" width="31.6640625" style="122" bestFit="1" customWidth="1"/>
    <col min="8967" max="9210" width="9.109375" style="122"/>
    <col min="9211" max="9211" width="5.88671875" style="122" customWidth="1"/>
    <col min="9212" max="9212" width="50.44140625" style="122" customWidth="1"/>
    <col min="9213" max="9216" width="7.6640625" style="122" customWidth="1"/>
    <col min="9217" max="9217" width="10.109375" style="122" customWidth="1"/>
    <col min="9218" max="9221" width="7.6640625" style="122" customWidth="1"/>
    <col min="9222" max="9222" width="31.6640625" style="122" bestFit="1" customWidth="1"/>
    <col min="9223" max="9466" width="9.109375" style="122"/>
    <col min="9467" max="9467" width="5.88671875" style="122" customWidth="1"/>
    <col min="9468" max="9468" width="50.44140625" style="122" customWidth="1"/>
    <col min="9469" max="9472" width="7.6640625" style="122" customWidth="1"/>
    <col min="9473" max="9473" width="10.109375" style="122" customWidth="1"/>
    <col min="9474" max="9477" width="7.6640625" style="122" customWidth="1"/>
    <col min="9478" max="9478" width="31.6640625" style="122" bestFit="1" customWidth="1"/>
    <col min="9479" max="9722" width="9.109375" style="122"/>
    <col min="9723" max="9723" width="5.88671875" style="122" customWidth="1"/>
    <col min="9724" max="9724" width="50.44140625" style="122" customWidth="1"/>
    <col min="9725" max="9728" width="7.6640625" style="122" customWidth="1"/>
    <col min="9729" max="9729" width="10.109375" style="122" customWidth="1"/>
    <col min="9730" max="9733" width="7.6640625" style="122" customWidth="1"/>
    <col min="9734" max="9734" width="31.6640625" style="122" bestFit="1" customWidth="1"/>
    <col min="9735" max="9978" width="9.109375" style="122"/>
    <col min="9979" max="9979" width="5.88671875" style="122" customWidth="1"/>
    <col min="9980" max="9980" width="50.44140625" style="122" customWidth="1"/>
    <col min="9981" max="9984" width="7.6640625" style="122" customWidth="1"/>
    <col min="9985" max="9985" width="10.109375" style="122" customWidth="1"/>
    <col min="9986" max="9989" width="7.6640625" style="122" customWidth="1"/>
    <col min="9990" max="9990" width="31.6640625" style="122" bestFit="1" customWidth="1"/>
    <col min="9991" max="10234" width="9.109375" style="122"/>
    <col min="10235" max="10235" width="5.88671875" style="122" customWidth="1"/>
    <col min="10236" max="10236" width="50.44140625" style="122" customWidth="1"/>
    <col min="10237" max="10240" width="7.6640625" style="122" customWidth="1"/>
    <col min="10241" max="10241" width="10.109375" style="122" customWidth="1"/>
    <col min="10242" max="10245" width="7.6640625" style="122" customWidth="1"/>
    <col min="10246" max="10246" width="31.6640625" style="122" bestFit="1" customWidth="1"/>
    <col min="10247" max="10490" width="9.109375" style="122"/>
    <col min="10491" max="10491" width="5.88671875" style="122" customWidth="1"/>
    <col min="10492" max="10492" width="50.44140625" style="122" customWidth="1"/>
    <col min="10493" max="10496" width="7.6640625" style="122" customWidth="1"/>
    <col min="10497" max="10497" width="10.109375" style="122" customWidth="1"/>
    <col min="10498" max="10501" width="7.6640625" style="122" customWidth="1"/>
    <col min="10502" max="10502" width="31.6640625" style="122" bestFit="1" customWidth="1"/>
    <col min="10503" max="10746" width="9.109375" style="122"/>
    <col min="10747" max="10747" width="5.88671875" style="122" customWidth="1"/>
    <col min="10748" max="10748" width="50.44140625" style="122" customWidth="1"/>
    <col min="10749" max="10752" width="7.6640625" style="122" customWidth="1"/>
    <col min="10753" max="10753" width="10.109375" style="122" customWidth="1"/>
    <col min="10754" max="10757" width="7.6640625" style="122" customWidth="1"/>
    <col min="10758" max="10758" width="31.6640625" style="122" bestFit="1" customWidth="1"/>
    <col min="10759" max="11002" width="9.109375" style="122"/>
    <col min="11003" max="11003" width="5.88671875" style="122" customWidth="1"/>
    <col min="11004" max="11004" width="50.44140625" style="122" customWidth="1"/>
    <col min="11005" max="11008" width="7.6640625" style="122" customWidth="1"/>
    <col min="11009" max="11009" width="10.109375" style="122" customWidth="1"/>
    <col min="11010" max="11013" width="7.6640625" style="122" customWidth="1"/>
    <col min="11014" max="11014" width="31.6640625" style="122" bestFit="1" customWidth="1"/>
    <col min="11015" max="11258" width="9.109375" style="122"/>
    <col min="11259" max="11259" width="5.88671875" style="122" customWidth="1"/>
    <col min="11260" max="11260" width="50.44140625" style="122" customWidth="1"/>
    <col min="11261" max="11264" width="7.6640625" style="122" customWidth="1"/>
    <col min="11265" max="11265" width="10.109375" style="122" customWidth="1"/>
    <col min="11266" max="11269" width="7.6640625" style="122" customWidth="1"/>
    <col min="11270" max="11270" width="31.6640625" style="122" bestFit="1" customWidth="1"/>
    <col min="11271" max="11514" width="9.109375" style="122"/>
    <col min="11515" max="11515" width="5.88671875" style="122" customWidth="1"/>
    <col min="11516" max="11516" width="50.44140625" style="122" customWidth="1"/>
    <col min="11517" max="11520" width="7.6640625" style="122" customWidth="1"/>
    <col min="11521" max="11521" width="10.109375" style="122" customWidth="1"/>
    <col min="11522" max="11525" width="7.6640625" style="122" customWidth="1"/>
    <col min="11526" max="11526" width="31.6640625" style="122" bestFit="1" customWidth="1"/>
    <col min="11527" max="11770" width="9.109375" style="122"/>
    <col min="11771" max="11771" width="5.88671875" style="122" customWidth="1"/>
    <col min="11772" max="11772" width="50.44140625" style="122" customWidth="1"/>
    <col min="11773" max="11776" width="7.6640625" style="122" customWidth="1"/>
    <col min="11777" max="11777" width="10.109375" style="122" customWidth="1"/>
    <col min="11778" max="11781" width="7.6640625" style="122" customWidth="1"/>
    <col min="11782" max="11782" width="31.6640625" style="122" bestFit="1" customWidth="1"/>
    <col min="11783" max="12026" width="9.109375" style="122"/>
    <col min="12027" max="12027" width="5.88671875" style="122" customWidth="1"/>
    <col min="12028" max="12028" width="50.44140625" style="122" customWidth="1"/>
    <col min="12029" max="12032" width="7.6640625" style="122" customWidth="1"/>
    <col min="12033" max="12033" width="10.109375" style="122" customWidth="1"/>
    <col min="12034" max="12037" width="7.6640625" style="122" customWidth="1"/>
    <col min="12038" max="12038" width="31.6640625" style="122" bestFit="1" customWidth="1"/>
    <col min="12039" max="12282" width="9.109375" style="122"/>
    <col min="12283" max="12283" width="5.88671875" style="122" customWidth="1"/>
    <col min="12284" max="12284" width="50.44140625" style="122" customWidth="1"/>
    <col min="12285" max="12288" width="7.6640625" style="122" customWidth="1"/>
    <col min="12289" max="12289" width="10.109375" style="122" customWidth="1"/>
    <col min="12290" max="12293" width="7.6640625" style="122" customWidth="1"/>
    <col min="12294" max="12294" width="31.6640625" style="122" bestFit="1" customWidth="1"/>
    <col min="12295" max="12538" width="9.109375" style="122"/>
    <col min="12539" max="12539" width="5.88671875" style="122" customWidth="1"/>
    <col min="12540" max="12540" width="50.44140625" style="122" customWidth="1"/>
    <col min="12541" max="12544" width="7.6640625" style="122" customWidth="1"/>
    <col min="12545" max="12545" width="10.109375" style="122" customWidth="1"/>
    <col min="12546" max="12549" width="7.6640625" style="122" customWidth="1"/>
    <col min="12550" max="12550" width="31.6640625" style="122" bestFit="1" customWidth="1"/>
    <col min="12551" max="12794" width="9.109375" style="122"/>
    <col min="12795" max="12795" width="5.88671875" style="122" customWidth="1"/>
    <col min="12796" max="12796" width="50.44140625" style="122" customWidth="1"/>
    <col min="12797" max="12800" width="7.6640625" style="122" customWidth="1"/>
    <col min="12801" max="12801" width="10.109375" style="122" customWidth="1"/>
    <col min="12802" max="12805" width="7.6640625" style="122" customWidth="1"/>
    <col min="12806" max="12806" width="31.6640625" style="122" bestFit="1" customWidth="1"/>
    <col min="12807" max="13050" width="9.109375" style="122"/>
    <col min="13051" max="13051" width="5.88671875" style="122" customWidth="1"/>
    <col min="13052" max="13052" width="50.44140625" style="122" customWidth="1"/>
    <col min="13053" max="13056" width="7.6640625" style="122" customWidth="1"/>
    <col min="13057" max="13057" width="10.109375" style="122" customWidth="1"/>
    <col min="13058" max="13061" width="7.6640625" style="122" customWidth="1"/>
    <col min="13062" max="13062" width="31.6640625" style="122" bestFit="1" customWidth="1"/>
    <col min="13063" max="13306" width="9.109375" style="122"/>
    <col min="13307" max="13307" width="5.88671875" style="122" customWidth="1"/>
    <col min="13308" max="13308" width="50.44140625" style="122" customWidth="1"/>
    <col min="13309" max="13312" width="7.6640625" style="122" customWidth="1"/>
    <col min="13313" max="13313" width="10.109375" style="122" customWidth="1"/>
    <col min="13314" max="13317" width="7.6640625" style="122" customWidth="1"/>
    <col min="13318" max="13318" width="31.6640625" style="122" bestFit="1" customWidth="1"/>
    <col min="13319" max="13562" width="9.109375" style="122"/>
    <col min="13563" max="13563" width="5.88671875" style="122" customWidth="1"/>
    <col min="13564" max="13564" width="50.44140625" style="122" customWidth="1"/>
    <col min="13565" max="13568" width="7.6640625" style="122" customWidth="1"/>
    <col min="13569" max="13569" width="10.109375" style="122" customWidth="1"/>
    <col min="13570" max="13573" width="7.6640625" style="122" customWidth="1"/>
    <col min="13574" max="13574" width="31.6640625" style="122" bestFit="1" customWidth="1"/>
    <col min="13575" max="13818" width="9.109375" style="122"/>
    <col min="13819" max="13819" width="5.88671875" style="122" customWidth="1"/>
    <col min="13820" max="13820" width="50.44140625" style="122" customWidth="1"/>
    <col min="13821" max="13824" width="7.6640625" style="122" customWidth="1"/>
    <col min="13825" max="13825" width="10.109375" style="122" customWidth="1"/>
    <col min="13826" max="13829" width="7.6640625" style="122" customWidth="1"/>
    <col min="13830" max="13830" width="31.6640625" style="122" bestFit="1" customWidth="1"/>
    <col min="13831" max="14074" width="9.109375" style="122"/>
    <col min="14075" max="14075" width="5.88671875" style="122" customWidth="1"/>
    <col min="14076" max="14076" width="50.44140625" style="122" customWidth="1"/>
    <col min="14077" max="14080" width="7.6640625" style="122" customWidth="1"/>
    <col min="14081" max="14081" width="10.109375" style="122" customWidth="1"/>
    <col min="14082" max="14085" width="7.6640625" style="122" customWidth="1"/>
    <col min="14086" max="14086" width="31.6640625" style="122" bestFit="1" customWidth="1"/>
    <col min="14087" max="14330" width="9.109375" style="122"/>
    <col min="14331" max="14331" width="5.88671875" style="122" customWidth="1"/>
    <col min="14332" max="14332" width="50.44140625" style="122" customWidth="1"/>
    <col min="14333" max="14336" width="7.6640625" style="122" customWidth="1"/>
    <col min="14337" max="14337" width="10.109375" style="122" customWidth="1"/>
    <col min="14338" max="14341" width="7.6640625" style="122" customWidth="1"/>
    <col min="14342" max="14342" width="31.6640625" style="122" bestFit="1" customWidth="1"/>
    <col min="14343" max="14586" width="9.109375" style="122"/>
    <col min="14587" max="14587" width="5.88671875" style="122" customWidth="1"/>
    <col min="14588" max="14588" width="50.44140625" style="122" customWidth="1"/>
    <col min="14589" max="14592" width="7.6640625" style="122" customWidth="1"/>
    <col min="14593" max="14593" width="10.109375" style="122" customWidth="1"/>
    <col min="14594" max="14597" width="7.6640625" style="122" customWidth="1"/>
    <col min="14598" max="14598" width="31.6640625" style="122" bestFit="1" customWidth="1"/>
    <col min="14599" max="14842" width="9.109375" style="122"/>
    <col min="14843" max="14843" width="5.88671875" style="122" customWidth="1"/>
    <col min="14844" max="14844" width="50.44140625" style="122" customWidth="1"/>
    <col min="14845" max="14848" width="7.6640625" style="122" customWidth="1"/>
    <col min="14849" max="14849" width="10.109375" style="122" customWidth="1"/>
    <col min="14850" max="14853" width="7.6640625" style="122" customWidth="1"/>
    <col min="14854" max="14854" width="31.6640625" style="122" bestFit="1" customWidth="1"/>
    <col min="14855" max="15098" width="9.109375" style="122"/>
    <col min="15099" max="15099" width="5.88671875" style="122" customWidth="1"/>
    <col min="15100" max="15100" width="50.44140625" style="122" customWidth="1"/>
    <col min="15101" max="15104" width="7.6640625" style="122" customWidth="1"/>
    <col min="15105" max="15105" width="10.109375" style="122" customWidth="1"/>
    <col min="15106" max="15109" width="7.6640625" style="122" customWidth="1"/>
    <col min="15110" max="15110" width="31.6640625" style="122" bestFit="1" customWidth="1"/>
    <col min="15111" max="15354" width="9.109375" style="122"/>
    <col min="15355" max="15355" width="5.88671875" style="122" customWidth="1"/>
    <col min="15356" max="15356" width="50.44140625" style="122" customWidth="1"/>
    <col min="15357" max="15360" width="7.6640625" style="122" customWidth="1"/>
    <col min="15361" max="15361" width="10.109375" style="122" customWidth="1"/>
    <col min="15362" max="15365" width="7.6640625" style="122" customWidth="1"/>
    <col min="15366" max="15366" width="31.6640625" style="122" bestFit="1" customWidth="1"/>
    <col min="15367" max="15610" width="9.109375" style="122"/>
    <col min="15611" max="15611" width="5.88671875" style="122" customWidth="1"/>
    <col min="15612" max="15612" width="50.44140625" style="122" customWidth="1"/>
    <col min="15613" max="15616" width="7.6640625" style="122" customWidth="1"/>
    <col min="15617" max="15617" width="10.109375" style="122" customWidth="1"/>
    <col min="15618" max="15621" width="7.6640625" style="122" customWidth="1"/>
    <col min="15622" max="15622" width="31.6640625" style="122" bestFit="1" customWidth="1"/>
    <col min="15623" max="15866" width="9.109375" style="122"/>
    <col min="15867" max="15867" width="5.88671875" style="122" customWidth="1"/>
    <col min="15868" max="15868" width="50.44140625" style="122" customWidth="1"/>
    <col min="15869" max="15872" width="7.6640625" style="122" customWidth="1"/>
    <col min="15873" max="15873" width="10.109375" style="122" customWidth="1"/>
    <col min="15874" max="15877" width="7.6640625" style="122" customWidth="1"/>
    <col min="15878" max="15878" width="31.6640625" style="122" bestFit="1" customWidth="1"/>
    <col min="15879" max="16122" width="9.109375" style="122"/>
    <col min="16123" max="16123" width="5.88671875" style="122" customWidth="1"/>
    <col min="16124" max="16124" width="50.44140625" style="122" customWidth="1"/>
    <col min="16125" max="16128" width="7.6640625" style="122" customWidth="1"/>
    <col min="16129" max="16129" width="10.109375" style="122" customWidth="1"/>
    <col min="16130" max="16133" width="7.6640625" style="122" customWidth="1"/>
    <col min="16134" max="16134" width="31.6640625" style="122" bestFit="1" customWidth="1"/>
    <col min="16135" max="16384" width="9.109375" style="122"/>
  </cols>
  <sheetData>
    <row r="1" spans="1:7">
      <c r="A1" s="148" t="s">
        <v>1193</v>
      </c>
    </row>
    <row r="3" spans="1:7">
      <c r="A3" s="826" t="s">
        <v>2709</v>
      </c>
    </row>
    <row r="4" spans="1:7">
      <c r="A4" s="122" t="s">
        <v>1195</v>
      </c>
      <c r="B4" s="148" t="s">
        <v>1196</v>
      </c>
      <c r="C4" s="123"/>
    </row>
    <row r="5" spans="1:7" ht="22.5" customHeight="1">
      <c r="A5" s="122" t="s">
        <v>76</v>
      </c>
      <c r="B5" s="1161" t="s">
        <v>1197</v>
      </c>
      <c r="C5" s="1161"/>
      <c r="D5" s="318" t="s">
        <v>383</v>
      </c>
      <c r="E5" s="289" t="s">
        <v>2</v>
      </c>
      <c r="F5" s="289"/>
      <c r="G5" s="289"/>
    </row>
    <row r="6" spans="1:7" ht="20.399999999999999">
      <c r="A6" s="291" t="s">
        <v>30</v>
      </c>
      <c r="B6" s="292" t="s">
        <v>19</v>
      </c>
      <c r="C6" s="293" t="s">
        <v>81</v>
      </c>
      <c r="D6" s="293" t="s">
        <v>77</v>
      </c>
      <c r="E6" s="294" t="s">
        <v>82</v>
      </c>
      <c r="F6" s="295" t="s">
        <v>83</v>
      </c>
      <c r="G6" s="296" t="s">
        <v>84</v>
      </c>
    </row>
    <row r="7" spans="1:7" ht="15" customHeight="1">
      <c r="A7" s="291">
        <v>10</v>
      </c>
      <c r="B7" s="297" t="s">
        <v>1198</v>
      </c>
      <c r="C7" s="295" t="s">
        <v>87</v>
      </c>
      <c r="D7" s="293" t="s">
        <v>381</v>
      </c>
      <c r="E7" s="294" t="s">
        <v>1199</v>
      </c>
      <c r="F7" s="828">
        <v>11.23</v>
      </c>
      <c r="G7" s="296">
        <f t="shared" ref="G7:G19" si="0">TRUNC(E7*F7,2)</f>
        <v>0.09</v>
      </c>
    </row>
    <row r="8" spans="1:7" ht="30" customHeight="1">
      <c r="A8" s="291">
        <v>2711</v>
      </c>
      <c r="B8" s="297" t="s">
        <v>1200</v>
      </c>
      <c r="C8" s="295" t="s">
        <v>87</v>
      </c>
      <c r="D8" s="293" t="s">
        <v>381</v>
      </c>
      <c r="E8" s="294" t="s">
        <v>1201</v>
      </c>
      <c r="F8" s="828">
        <v>115.9</v>
      </c>
      <c r="G8" s="296">
        <f>TRUNC(E8*F8,2)</f>
        <v>7.0000000000000007E-2</v>
      </c>
    </row>
    <row r="9" spans="1:7" ht="37.5" customHeight="1">
      <c r="A9" s="291">
        <v>11359</v>
      </c>
      <c r="B9" s="297" t="s">
        <v>1202</v>
      </c>
      <c r="C9" s="295" t="s">
        <v>87</v>
      </c>
      <c r="D9" s="293" t="s">
        <v>381</v>
      </c>
      <c r="E9" s="294" t="s">
        <v>1203</v>
      </c>
      <c r="F9" s="825">
        <v>829.4</v>
      </c>
      <c r="G9" s="296">
        <f t="shared" si="0"/>
        <v>0.05</v>
      </c>
    </row>
    <row r="10" spans="1:7" ht="15" customHeight="1">
      <c r="A10" s="291">
        <v>12815</v>
      </c>
      <c r="B10" s="297" t="s">
        <v>1204</v>
      </c>
      <c r="C10" s="295" t="s">
        <v>87</v>
      </c>
      <c r="D10" s="293" t="s">
        <v>381</v>
      </c>
      <c r="E10" s="294" t="s">
        <v>1205</v>
      </c>
      <c r="F10" s="828">
        <v>8.17</v>
      </c>
      <c r="G10" s="296">
        <f t="shared" si="0"/>
        <v>7.0000000000000007E-2</v>
      </c>
    </row>
    <row r="11" spans="1:7" ht="15" customHeight="1">
      <c r="A11" s="291">
        <v>25966</v>
      </c>
      <c r="B11" s="297" t="s">
        <v>1206</v>
      </c>
      <c r="C11" s="295" t="s">
        <v>87</v>
      </c>
      <c r="D11" s="293" t="s">
        <v>1207</v>
      </c>
      <c r="E11" s="294" t="s">
        <v>1208</v>
      </c>
      <c r="F11" s="828">
        <v>16.68</v>
      </c>
      <c r="G11" s="296">
        <f t="shared" si="0"/>
        <v>0.02</v>
      </c>
    </row>
    <row r="12" spans="1:7" ht="15" customHeight="1">
      <c r="A12" s="291">
        <v>38382</v>
      </c>
      <c r="B12" s="297" t="s">
        <v>1209</v>
      </c>
      <c r="C12" s="295" t="s">
        <v>87</v>
      </c>
      <c r="D12" s="293" t="s">
        <v>381</v>
      </c>
      <c r="E12" s="294" t="s">
        <v>1210</v>
      </c>
      <c r="F12" s="828">
        <v>10.66</v>
      </c>
      <c r="G12" s="296">
        <f t="shared" si="0"/>
        <v>0.02</v>
      </c>
    </row>
    <row r="13" spans="1:7" ht="15" customHeight="1">
      <c r="A13" s="291">
        <v>38390</v>
      </c>
      <c r="B13" s="297" t="s">
        <v>1211</v>
      </c>
      <c r="C13" s="295" t="s">
        <v>87</v>
      </c>
      <c r="D13" s="293" t="s">
        <v>381</v>
      </c>
      <c r="E13" s="294" t="s">
        <v>1208</v>
      </c>
      <c r="F13" s="825">
        <v>32.14</v>
      </c>
      <c r="G13" s="296">
        <f t="shared" si="0"/>
        <v>0.04</v>
      </c>
    </row>
    <row r="14" spans="1:7" ht="15" customHeight="1">
      <c r="A14" s="291">
        <v>38393</v>
      </c>
      <c r="B14" s="297" t="s">
        <v>1212</v>
      </c>
      <c r="C14" s="295" t="s">
        <v>87</v>
      </c>
      <c r="D14" s="293" t="s">
        <v>381</v>
      </c>
      <c r="E14" s="294" t="s">
        <v>1208</v>
      </c>
      <c r="F14" s="828">
        <v>14.49</v>
      </c>
      <c r="G14" s="296">
        <f t="shared" si="0"/>
        <v>0.02</v>
      </c>
    </row>
    <row r="15" spans="1:7" ht="15" customHeight="1">
      <c r="A15" s="291">
        <v>38396</v>
      </c>
      <c r="B15" s="297" t="s">
        <v>1213</v>
      </c>
      <c r="C15" s="295" t="s">
        <v>87</v>
      </c>
      <c r="D15" s="293" t="s">
        <v>381</v>
      </c>
      <c r="E15" s="294" t="s">
        <v>1214</v>
      </c>
      <c r="F15" s="828">
        <v>544.79999999999995</v>
      </c>
      <c r="G15" s="296">
        <f t="shared" si="0"/>
        <v>0.02</v>
      </c>
    </row>
    <row r="16" spans="1:7" ht="15" customHeight="1">
      <c r="A16" s="291">
        <v>38399</v>
      </c>
      <c r="B16" s="297" t="s">
        <v>1215</v>
      </c>
      <c r="C16" s="295" t="s">
        <v>87</v>
      </c>
      <c r="D16" s="293" t="s">
        <v>381</v>
      </c>
      <c r="E16" s="294" t="s">
        <v>1216</v>
      </c>
      <c r="F16" s="828">
        <v>143.22</v>
      </c>
      <c r="G16" s="296">
        <f t="shared" si="0"/>
        <v>0.03</v>
      </c>
    </row>
    <row r="17" spans="1:9" ht="30" customHeight="1">
      <c r="A17" s="291">
        <v>38413</v>
      </c>
      <c r="B17" s="297" t="s">
        <v>1217</v>
      </c>
      <c r="C17" s="295" t="s">
        <v>87</v>
      </c>
      <c r="D17" s="293" t="s">
        <v>381</v>
      </c>
      <c r="E17" s="294" t="s">
        <v>1218</v>
      </c>
      <c r="F17" s="825">
        <v>855.1</v>
      </c>
      <c r="G17" s="296">
        <f t="shared" si="0"/>
        <v>0.03</v>
      </c>
    </row>
    <row r="18" spans="1:9" ht="30" customHeight="1">
      <c r="A18" s="291">
        <v>38476</v>
      </c>
      <c r="B18" s="297" t="s">
        <v>1219</v>
      </c>
      <c r="C18" s="295" t="s">
        <v>87</v>
      </c>
      <c r="D18" s="293" t="s">
        <v>381</v>
      </c>
      <c r="E18" s="294" t="s">
        <v>1220</v>
      </c>
      <c r="F18" s="828">
        <v>215.78</v>
      </c>
      <c r="G18" s="296">
        <f t="shared" si="0"/>
        <v>0.04</v>
      </c>
    </row>
    <row r="19" spans="1:9" ht="30" customHeight="1">
      <c r="A19" s="291">
        <v>38477</v>
      </c>
      <c r="B19" s="297" t="s">
        <v>1221</v>
      </c>
      <c r="C19" s="295" t="s">
        <v>87</v>
      </c>
      <c r="D19" s="293" t="s">
        <v>381</v>
      </c>
      <c r="E19" s="294" t="s">
        <v>1218</v>
      </c>
      <c r="F19" s="294">
        <v>611.11</v>
      </c>
      <c r="G19" s="296">
        <f t="shared" si="0"/>
        <v>0.02</v>
      </c>
    </row>
    <row r="20" spans="1:9" ht="14.1" customHeight="1">
      <c r="D20" s="299"/>
      <c r="E20" s="300"/>
      <c r="F20" s="301" t="s">
        <v>90</v>
      </c>
      <c r="G20" s="296"/>
    </row>
    <row r="21" spans="1:9" ht="14.1" customHeight="1">
      <c r="D21" s="299"/>
      <c r="E21" s="300"/>
      <c r="F21" s="301" t="s">
        <v>92</v>
      </c>
      <c r="G21" s="296">
        <f>SUM(G7:G19)</f>
        <v>0.52000000000000013</v>
      </c>
    </row>
    <row r="22" spans="1:9" ht="14.1" customHeight="1">
      <c r="A22" s="302"/>
      <c r="D22" s="299"/>
      <c r="E22" s="300"/>
      <c r="F22" s="301" t="s">
        <v>93</v>
      </c>
      <c r="G22" s="811">
        <f>SUM(G20:G21)</f>
        <v>0.52000000000000013</v>
      </c>
      <c r="H22" s="304"/>
    </row>
    <row r="23" spans="1:9">
      <c r="A23" s="305"/>
      <c r="B23" s="306"/>
      <c r="C23" s="307"/>
      <c r="D23" s="308"/>
      <c r="E23" s="305"/>
      <c r="F23" s="306"/>
      <c r="G23" s="306"/>
      <c r="H23" s="306"/>
      <c r="I23" s="305"/>
    </row>
    <row r="25" spans="1:9" ht="15" customHeight="1">
      <c r="A25" s="122" t="s">
        <v>1194</v>
      </c>
    </row>
    <row r="26" spans="1:9" ht="15" customHeight="1">
      <c r="A26" s="122" t="s">
        <v>1195</v>
      </c>
      <c r="B26" s="149" t="s">
        <v>1222</v>
      </c>
      <c r="C26" s="123"/>
    </row>
    <row r="27" spans="1:9" ht="20.25" customHeight="1">
      <c r="A27" s="122" t="s">
        <v>76</v>
      </c>
      <c r="B27" s="290" t="s">
        <v>1223</v>
      </c>
      <c r="C27" s="318" t="s">
        <v>383</v>
      </c>
      <c r="E27" s="289" t="s">
        <v>2</v>
      </c>
      <c r="F27" s="289"/>
      <c r="G27" s="289"/>
    </row>
    <row r="28" spans="1:9" ht="20.399999999999999">
      <c r="A28" s="291" t="s">
        <v>30</v>
      </c>
      <c r="B28" s="292" t="s">
        <v>19</v>
      </c>
      <c r="C28" s="293" t="s">
        <v>81</v>
      </c>
      <c r="D28" s="293" t="s">
        <v>77</v>
      </c>
      <c r="E28" s="294" t="s">
        <v>82</v>
      </c>
      <c r="F28" s="295" t="s">
        <v>83</v>
      </c>
      <c r="G28" s="296" t="s">
        <v>84</v>
      </c>
    </row>
    <row r="29" spans="1:9" ht="15" customHeight="1">
      <c r="A29" s="874">
        <v>12892</v>
      </c>
      <c r="B29" s="297" t="s">
        <v>86</v>
      </c>
      <c r="C29" s="295" t="s">
        <v>87</v>
      </c>
      <c r="D29" s="293" t="s">
        <v>1224</v>
      </c>
      <c r="E29" s="294" t="s">
        <v>1225</v>
      </c>
      <c r="F29" s="825">
        <v>10.75</v>
      </c>
      <c r="G29" s="296">
        <f t="shared" ref="G29:G35" si="1">TRUNC(E29*F29,2)</f>
        <v>0.14000000000000001</v>
      </c>
    </row>
    <row r="30" spans="1:9" ht="30" customHeight="1">
      <c r="A30" s="874">
        <v>12893</v>
      </c>
      <c r="B30" s="297" t="s">
        <v>88</v>
      </c>
      <c r="C30" s="295" t="s">
        <v>87</v>
      </c>
      <c r="D30" s="293" t="s">
        <v>1224</v>
      </c>
      <c r="E30" s="294" t="s">
        <v>1226</v>
      </c>
      <c r="F30" s="825">
        <v>57.36</v>
      </c>
      <c r="G30" s="296">
        <f t="shared" si="1"/>
        <v>0.09</v>
      </c>
    </row>
    <row r="31" spans="1:9" ht="30" customHeight="1">
      <c r="A31" s="874">
        <v>36144</v>
      </c>
      <c r="B31" s="297" t="s">
        <v>1227</v>
      </c>
      <c r="C31" s="295" t="s">
        <v>87</v>
      </c>
      <c r="D31" s="293" t="s">
        <v>381</v>
      </c>
      <c r="E31" s="294" t="s">
        <v>1228</v>
      </c>
      <c r="F31" s="825">
        <v>1.33</v>
      </c>
      <c r="G31" s="296">
        <f t="shared" si="1"/>
        <v>0.14000000000000001</v>
      </c>
    </row>
    <row r="32" spans="1:9" ht="15" customHeight="1">
      <c r="A32" s="874">
        <v>36146</v>
      </c>
      <c r="B32" s="297" t="s">
        <v>1229</v>
      </c>
      <c r="C32" s="295" t="s">
        <v>87</v>
      </c>
      <c r="D32" s="293" t="s">
        <v>381</v>
      </c>
      <c r="E32" s="294" t="s">
        <v>1230</v>
      </c>
      <c r="F32" s="825">
        <v>203.15</v>
      </c>
      <c r="G32" s="296">
        <f t="shared" si="1"/>
        <v>0.25</v>
      </c>
    </row>
    <row r="33" spans="1:9" ht="30.6">
      <c r="A33" s="874">
        <v>36149</v>
      </c>
      <c r="B33" s="297" t="s">
        <v>1231</v>
      </c>
      <c r="C33" s="295" t="s">
        <v>87</v>
      </c>
      <c r="D33" s="293" t="s">
        <v>381</v>
      </c>
      <c r="E33" s="294" t="s">
        <v>1232</v>
      </c>
      <c r="F33" s="825">
        <v>140.41</v>
      </c>
      <c r="G33" s="296">
        <f t="shared" si="1"/>
        <v>0.1</v>
      </c>
    </row>
    <row r="34" spans="1:9" ht="30" customHeight="1">
      <c r="A34" s="874">
        <v>36150</v>
      </c>
      <c r="B34" s="297" t="s">
        <v>1233</v>
      </c>
      <c r="C34" s="295" t="s">
        <v>87</v>
      </c>
      <c r="D34" s="293" t="s">
        <v>381</v>
      </c>
      <c r="E34" s="294" t="s">
        <v>1234</v>
      </c>
      <c r="F34" s="825">
        <v>35.49</v>
      </c>
      <c r="G34" s="296">
        <f t="shared" si="1"/>
        <v>0.09</v>
      </c>
    </row>
    <row r="35" spans="1:9" ht="20.399999999999999">
      <c r="A35" s="874">
        <v>36153</v>
      </c>
      <c r="B35" s="297" t="s">
        <v>1235</v>
      </c>
      <c r="C35" s="295" t="s">
        <v>87</v>
      </c>
      <c r="D35" s="293" t="s">
        <v>381</v>
      </c>
      <c r="E35" s="294" t="s">
        <v>1236</v>
      </c>
      <c r="F35" s="825">
        <v>159.83000000000001</v>
      </c>
      <c r="G35" s="296">
        <f t="shared" si="1"/>
        <v>0.17</v>
      </c>
    </row>
    <row r="36" spans="1:9" ht="15" customHeight="1">
      <c r="D36" s="299"/>
      <c r="E36" s="300"/>
      <c r="F36" s="301" t="s">
        <v>90</v>
      </c>
      <c r="G36" s="296"/>
    </row>
    <row r="37" spans="1:9" ht="15" customHeight="1">
      <c r="D37" s="299"/>
      <c r="E37" s="300"/>
      <c r="F37" s="301" t="s">
        <v>92</v>
      </c>
      <c r="G37" s="296">
        <f>SUM(G29:G35)</f>
        <v>0.98</v>
      </c>
    </row>
    <row r="38" spans="1:9" ht="15" customHeight="1">
      <c r="A38" s="302"/>
      <c r="D38" s="299"/>
      <c r="E38" s="300"/>
      <c r="F38" s="301" t="s">
        <v>93</v>
      </c>
      <c r="G38" s="811">
        <f>SUM(G36:G37)</f>
        <v>0.98</v>
      </c>
      <c r="H38" s="304"/>
    </row>
    <row r="39" spans="1:9">
      <c r="A39" s="305"/>
      <c r="B39" s="306"/>
      <c r="C39" s="307"/>
      <c r="D39" s="308"/>
      <c r="E39" s="305"/>
      <c r="F39" s="306"/>
      <c r="G39" s="306"/>
      <c r="H39" s="306"/>
      <c r="I39" s="305"/>
    </row>
    <row r="41" spans="1:9">
      <c r="A41" s="826" t="s">
        <v>2709</v>
      </c>
      <c r="C41" s="124"/>
      <c r="D41" s="122"/>
      <c r="E41" s="128"/>
      <c r="H41" s="122"/>
    </row>
    <row r="42" spans="1:9">
      <c r="A42" s="122" t="s">
        <v>1465</v>
      </c>
      <c r="C42" s="124"/>
      <c r="D42" s="122"/>
      <c r="E42" s="128"/>
      <c r="H42" s="122"/>
    </row>
    <row r="43" spans="1:9" ht="19.5" customHeight="1">
      <c r="A43" s="352" t="s">
        <v>1450</v>
      </c>
      <c r="B43" s="1161" t="s">
        <v>1466</v>
      </c>
      <c r="C43" s="1161"/>
      <c r="D43" s="1161"/>
      <c r="E43" s="353" t="s">
        <v>383</v>
      </c>
      <c r="G43" s="353"/>
      <c r="H43" s="122"/>
    </row>
    <row r="44" spans="1:9" ht="20.399999999999999">
      <c r="A44" s="309" t="s">
        <v>30</v>
      </c>
      <c r="B44" s="354" t="s">
        <v>19</v>
      </c>
      <c r="C44" s="293" t="s">
        <v>81</v>
      </c>
      <c r="D44" s="294" t="s">
        <v>77</v>
      </c>
      <c r="E44" s="294" t="s">
        <v>82</v>
      </c>
      <c r="F44" s="295" t="s">
        <v>83</v>
      </c>
      <c r="G44" s="355" t="s">
        <v>84</v>
      </c>
      <c r="H44" s="122"/>
    </row>
    <row r="45" spans="1:9" ht="14.1" customHeight="1">
      <c r="A45" s="309" t="s">
        <v>1239</v>
      </c>
      <c r="B45" s="297" t="s">
        <v>1240</v>
      </c>
      <c r="C45" s="294" t="s">
        <v>104</v>
      </c>
      <c r="D45" s="293" t="s">
        <v>383</v>
      </c>
      <c r="E45" s="325">
        <v>1</v>
      </c>
      <c r="F45" s="821">
        <v>10.68</v>
      </c>
      <c r="G45" s="312">
        <f t="shared" ref="G45:G52" si="2">TRUNC(E45*F45,2)</f>
        <v>10.68</v>
      </c>
    </row>
    <row r="46" spans="1:9" ht="20.399999999999999">
      <c r="A46" s="309" t="s">
        <v>1290</v>
      </c>
      <c r="B46" s="297" t="s">
        <v>1291</v>
      </c>
      <c r="C46" s="294" t="s">
        <v>1292</v>
      </c>
      <c r="D46" s="293" t="s">
        <v>383</v>
      </c>
      <c r="E46" s="325">
        <v>1</v>
      </c>
      <c r="F46" s="816">
        <v>2.2000000000000002</v>
      </c>
      <c r="G46" s="296">
        <f t="shared" si="2"/>
        <v>2.2000000000000002</v>
      </c>
    </row>
    <row r="47" spans="1:9" ht="20.399999999999999">
      <c r="A47" s="309" t="s">
        <v>1293</v>
      </c>
      <c r="B47" s="297" t="s">
        <v>1294</v>
      </c>
      <c r="C47" s="294" t="s">
        <v>1292</v>
      </c>
      <c r="D47" s="293" t="s">
        <v>383</v>
      </c>
      <c r="E47" s="325">
        <v>1</v>
      </c>
      <c r="F47" s="816">
        <v>0.71</v>
      </c>
      <c r="G47" s="312">
        <f t="shared" si="2"/>
        <v>0.71</v>
      </c>
    </row>
    <row r="48" spans="1:9" ht="20.399999999999999">
      <c r="A48" s="309" t="s">
        <v>1295</v>
      </c>
      <c r="B48" s="297" t="s">
        <v>1296</v>
      </c>
      <c r="C48" s="294" t="s">
        <v>1292</v>
      </c>
      <c r="D48" s="293" t="s">
        <v>383</v>
      </c>
      <c r="E48" s="325">
        <v>1</v>
      </c>
      <c r="F48" s="816">
        <v>0.35</v>
      </c>
      <c r="G48" s="296">
        <f t="shared" si="2"/>
        <v>0.35</v>
      </c>
    </row>
    <row r="49" spans="1:9" ht="20.399999999999999">
      <c r="A49" s="309" t="s">
        <v>1297</v>
      </c>
      <c r="B49" s="297" t="s">
        <v>1298</v>
      </c>
      <c r="C49" s="294" t="s">
        <v>1292</v>
      </c>
      <c r="D49" s="293" t="s">
        <v>383</v>
      </c>
      <c r="E49" s="325">
        <v>1</v>
      </c>
      <c r="F49" s="816">
        <v>7.0000000000000007E-2</v>
      </c>
      <c r="G49" s="296">
        <f t="shared" si="2"/>
        <v>7.0000000000000007E-2</v>
      </c>
    </row>
    <row r="50" spans="1:9">
      <c r="A50" s="309" t="s">
        <v>1467</v>
      </c>
      <c r="B50" s="297" t="s">
        <v>1197</v>
      </c>
      <c r="C50" s="294" t="s">
        <v>87</v>
      </c>
      <c r="D50" s="293" t="s">
        <v>383</v>
      </c>
      <c r="E50" s="325">
        <v>1</v>
      </c>
      <c r="F50" s="816">
        <v>0.5</v>
      </c>
      <c r="G50" s="296">
        <f t="shared" si="2"/>
        <v>0.5</v>
      </c>
    </row>
    <row r="51" spans="1:9" ht="14.1" customHeight="1">
      <c r="A51" s="309" t="s">
        <v>1299</v>
      </c>
      <c r="B51" s="297" t="s">
        <v>1223</v>
      </c>
      <c r="C51" s="294" t="s">
        <v>87</v>
      </c>
      <c r="D51" s="293" t="s">
        <v>383</v>
      </c>
      <c r="E51" s="325">
        <v>1</v>
      </c>
      <c r="F51" s="816">
        <v>0.96</v>
      </c>
      <c r="G51" s="296">
        <f t="shared" si="2"/>
        <v>0.96</v>
      </c>
    </row>
    <row r="52" spans="1:9" ht="20.399999999999999">
      <c r="A52" s="309" t="s">
        <v>1468</v>
      </c>
      <c r="B52" s="297" t="s">
        <v>1238</v>
      </c>
      <c r="C52" s="294" t="s">
        <v>104</v>
      </c>
      <c r="D52" s="293" t="s">
        <v>383</v>
      </c>
      <c r="E52" s="325">
        <v>1</v>
      </c>
      <c r="F52" s="816">
        <v>0.08</v>
      </c>
      <c r="G52" s="296">
        <f t="shared" si="2"/>
        <v>0.08</v>
      </c>
    </row>
    <row r="53" spans="1:9" ht="14.1" customHeight="1">
      <c r="C53" s="122"/>
      <c r="D53" s="328"/>
      <c r="E53" s="300"/>
      <c r="F53" s="301" t="s">
        <v>90</v>
      </c>
      <c r="G53" s="312">
        <f>G45+G52</f>
        <v>10.76</v>
      </c>
    </row>
    <row r="54" spans="1:9" ht="14.1" customHeight="1">
      <c r="C54" s="122"/>
      <c r="E54" s="300"/>
      <c r="F54" s="301" t="s">
        <v>92</v>
      </c>
      <c r="G54" s="312">
        <f>SUM(G46:G51)</f>
        <v>4.79</v>
      </c>
    </row>
    <row r="55" spans="1:9" ht="14.1" customHeight="1">
      <c r="A55" s="302"/>
      <c r="C55" s="122"/>
      <c r="D55" s="319"/>
      <c r="E55" s="300"/>
      <c r="F55" s="301" t="s">
        <v>93</v>
      </c>
      <c r="G55" s="820">
        <f>SUM(G53:G54)</f>
        <v>15.55</v>
      </c>
      <c r="H55" s="304"/>
    </row>
    <row r="56" spans="1:9">
      <c r="A56" s="305"/>
      <c r="B56" s="366"/>
      <c r="C56" s="308"/>
      <c r="D56" s="305"/>
      <c r="E56" s="306"/>
      <c r="F56" s="306"/>
      <c r="G56" s="306"/>
      <c r="H56" s="305"/>
      <c r="I56" s="305"/>
    </row>
    <row r="58" spans="1:9">
      <c r="A58" s="826" t="s">
        <v>2709</v>
      </c>
      <c r="C58" s="124"/>
      <c r="D58" s="122"/>
      <c r="E58" s="128"/>
      <c r="H58" s="122"/>
    </row>
    <row r="59" spans="1:9">
      <c r="A59" s="122" t="s">
        <v>2372</v>
      </c>
      <c r="C59" s="124"/>
      <c r="D59" s="122"/>
      <c r="E59" s="128"/>
      <c r="H59" s="122"/>
    </row>
    <row r="60" spans="1:9" ht="15" customHeight="1">
      <c r="A60" s="352" t="s">
        <v>1450</v>
      </c>
      <c r="B60" s="1161" t="s">
        <v>2371</v>
      </c>
      <c r="C60" s="1161"/>
      <c r="D60" s="353" t="s">
        <v>383</v>
      </c>
      <c r="G60" s="353"/>
      <c r="H60" s="122"/>
    </row>
    <row r="61" spans="1:9" ht="20.399999999999999">
      <c r="A61" s="309" t="s">
        <v>30</v>
      </c>
      <c r="B61" s="354" t="s">
        <v>19</v>
      </c>
      <c r="C61" s="293" t="s">
        <v>81</v>
      </c>
      <c r="D61" s="294" t="s">
        <v>77</v>
      </c>
      <c r="E61" s="294" t="s">
        <v>82</v>
      </c>
      <c r="F61" s="295" t="s">
        <v>83</v>
      </c>
      <c r="G61" s="355" t="s">
        <v>84</v>
      </c>
      <c r="H61" s="122"/>
    </row>
    <row r="62" spans="1:9" ht="15" customHeight="1">
      <c r="A62" s="309">
        <v>6127</v>
      </c>
      <c r="B62" s="297" t="s">
        <v>2373</v>
      </c>
      <c r="C62" s="294" t="s">
        <v>104</v>
      </c>
      <c r="D62" s="293" t="s">
        <v>383</v>
      </c>
      <c r="E62" s="325">
        <v>1</v>
      </c>
      <c r="F62" s="821">
        <v>11</v>
      </c>
      <c r="G62" s="312">
        <f t="shared" ref="G62:G69" si="3">TRUNC(E62*F62,2)</f>
        <v>11</v>
      </c>
    </row>
    <row r="63" spans="1:9" ht="20.399999999999999">
      <c r="A63" s="309" t="s">
        <v>1290</v>
      </c>
      <c r="B63" s="297" t="s">
        <v>1291</v>
      </c>
      <c r="C63" s="294" t="s">
        <v>1292</v>
      </c>
      <c r="D63" s="293" t="s">
        <v>383</v>
      </c>
      <c r="E63" s="325">
        <v>1</v>
      </c>
      <c r="F63" s="816">
        <v>2.2000000000000002</v>
      </c>
      <c r="G63" s="296">
        <f t="shared" si="3"/>
        <v>2.2000000000000002</v>
      </c>
    </row>
    <row r="64" spans="1:9" ht="20.399999999999999">
      <c r="A64" s="309" t="s">
        <v>1293</v>
      </c>
      <c r="B64" s="297" t="s">
        <v>1294</v>
      </c>
      <c r="C64" s="294" t="s">
        <v>1292</v>
      </c>
      <c r="D64" s="293" t="s">
        <v>383</v>
      </c>
      <c r="E64" s="325">
        <v>1</v>
      </c>
      <c r="F64" s="816">
        <v>0.71</v>
      </c>
      <c r="G64" s="312">
        <f t="shared" si="3"/>
        <v>0.71</v>
      </c>
    </row>
    <row r="65" spans="1:8" ht="20.399999999999999">
      <c r="A65" s="309" t="s">
        <v>1295</v>
      </c>
      <c r="B65" s="297" t="s">
        <v>1296</v>
      </c>
      <c r="C65" s="294" t="s">
        <v>1292</v>
      </c>
      <c r="D65" s="293" t="s">
        <v>383</v>
      </c>
      <c r="E65" s="325">
        <v>1</v>
      </c>
      <c r="F65" s="816">
        <v>0.35</v>
      </c>
      <c r="G65" s="296">
        <f t="shared" si="3"/>
        <v>0.35</v>
      </c>
    </row>
    <row r="66" spans="1:8" ht="20.399999999999999">
      <c r="A66" s="309" t="s">
        <v>1297</v>
      </c>
      <c r="B66" s="297" t="s">
        <v>1298</v>
      </c>
      <c r="C66" s="294" t="s">
        <v>1292</v>
      </c>
      <c r="D66" s="293" t="s">
        <v>383</v>
      </c>
      <c r="E66" s="325">
        <v>1</v>
      </c>
      <c r="F66" s="816">
        <v>7.0000000000000007E-2</v>
      </c>
      <c r="G66" s="296">
        <f t="shared" si="3"/>
        <v>7.0000000000000007E-2</v>
      </c>
    </row>
    <row r="67" spans="1:8">
      <c r="A67" s="309" t="s">
        <v>1467</v>
      </c>
      <c r="B67" s="297" t="s">
        <v>1197</v>
      </c>
      <c r="C67" s="294" t="s">
        <v>87</v>
      </c>
      <c r="D67" s="293" t="s">
        <v>383</v>
      </c>
      <c r="E67" s="325">
        <v>1</v>
      </c>
      <c r="F67" s="816">
        <v>0.5</v>
      </c>
      <c r="G67" s="296">
        <f t="shared" si="3"/>
        <v>0.5</v>
      </c>
    </row>
    <row r="68" spans="1:8" ht="15" customHeight="1">
      <c r="A68" s="309" t="s">
        <v>1299</v>
      </c>
      <c r="B68" s="297" t="s">
        <v>1223</v>
      </c>
      <c r="C68" s="294" t="s">
        <v>87</v>
      </c>
      <c r="D68" s="293" t="s">
        <v>383</v>
      </c>
      <c r="E68" s="325">
        <v>1</v>
      </c>
      <c r="F68" s="816">
        <v>0.96</v>
      </c>
      <c r="G68" s="296">
        <f t="shared" si="3"/>
        <v>0.96</v>
      </c>
    </row>
    <row r="69" spans="1:8" ht="20.399999999999999">
      <c r="A69" s="309">
        <v>95312</v>
      </c>
      <c r="B69" s="297" t="s">
        <v>2374</v>
      </c>
      <c r="C69" s="294" t="s">
        <v>104</v>
      </c>
      <c r="D69" s="293" t="s">
        <v>383</v>
      </c>
      <c r="E69" s="325">
        <v>1</v>
      </c>
      <c r="F69" s="816">
        <v>0.11</v>
      </c>
      <c r="G69" s="296">
        <f t="shared" si="3"/>
        <v>0.11</v>
      </c>
    </row>
    <row r="70" spans="1:8" ht="14.1" customHeight="1">
      <c r="C70" s="122"/>
      <c r="D70" s="328"/>
      <c r="E70" s="300"/>
      <c r="F70" s="301" t="s">
        <v>90</v>
      </c>
      <c r="G70" s="312">
        <f>G62+G69</f>
        <v>11.11</v>
      </c>
    </row>
    <row r="71" spans="1:8" ht="14.1" customHeight="1">
      <c r="C71" s="122"/>
      <c r="E71" s="300"/>
      <c r="F71" s="301" t="s">
        <v>92</v>
      </c>
      <c r="G71" s="312">
        <f>SUM(G63:G68)</f>
        <v>4.79</v>
      </c>
    </row>
    <row r="72" spans="1:8" ht="14.1" customHeight="1">
      <c r="A72" s="302"/>
      <c r="C72" s="122"/>
      <c r="D72" s="319"/>
      <c r="E72" s="300"/>
      <c r="F72" s="301" t="s">
        <v>93</v>
      </c>
      <c r="G72" s="820">
        <f>SUM(G70:G71)</f>
        <v>15.899999999999999</v>
      </c>
      <c r="H72" s="304"/>
    </row>
    <row r="73" spans="1:8">
      <c r="A73" s="305"/>
      <c r="B73" s="366"/>
      <c r="C73" s="308"/>
      <c r="D73" s="305"/>
      <c r="E73" s="306"/>
      <c r="F73" s="306"/>
      <c r="G73" s="306"/>
      <c r="H73" s="305"/>
    </row>
    <row r="75" spans="1:8">
      <c r="A75" s="826" t="s">
        <v>2710</v>
      </c>
      <c r="C75" s="124"/>
      <c r="D75" s="122"/>
      <c r="E75" s="128"/>
      <c r="H75" s="122"/>
    </row>
    <row r="76" spans="1:8" ht="14.25" customHeight="1">
      <c r="A76" s="122" t="s">
        <v>33</v>
      </c>
      <c r="B76" s="149" t="s">
        <v>1469</v>
      </c>
      <c r="C76" s="124"/>
      <c r="D76" s="122"/>
      <c r="E76" s="128"/>
      <c r="H76" s="122"/>
    </row>
    <row r="77" spans="1:8" ht="18" customHeight="1">
      <c r="A77" s="122" t="s">
        <v>76</v>
      </c>
      <c r="B77" s="1289" t="s">
        <v>134</v>
      </c>
      <c r="C77" s="1289"/>
      <c r="D77" s="318" t="s">
        <v>383</v>
      </c>
      <c r="H77" s="122"/>
    </row>
    <row r="78" spans="1:8" ht="20.399999999999999">
      <c r="A78" s="361" t="s">
        <v>30</v>
      </c>
      <c r="B78" s="297" t="s">
        <v>19</v>
      </c>
      <c r="C78" s="293" t="s">
        <v>81</v>
      </c>
      <c r="D78" s="293" t="s">
        <v>77</v>
      </c>
      <c r="E78" s="294" t="s">
        <v>82</v>
      </c>
      <c r="F78" s="295" t="s">
        <v>83</v>
      </c>
      <c r="G78" s="324" t="s">
        <v>84</v>
      </c>
    </row>
    <row r="79" spans="1:8" ht="14.1" customHeight="1">
      <c r="A79" s="309">
        <v>1213</v>
      </c>
      <c r="B79" s="297" t="s">
        <v>1251</v>
      </c>
      <c r="C79" s="294" t="s">
        <v>104</v>
      </c>
      <c r="D79" s="293" t="s">
        <v>383</v>
      </c>
      <c r="E79" s="325">
        <v>1</v>
      </c>
      <c r="F79" s="821">
        <v>14.81</v>
      </c>
      <c r="G79" s="312">
        <f t="shared" ref="G79:G86" si="4">TRUNC(E79*F79,2)</f>
        <v>14.81</v>
      </c>
    </row>
    <row r="80" spans="1:8" ht="20.399999999999999">
      <c r="A80" s="309" t="s">
        <v>1290</v>
      </c>
      <c r="B80" s="297" t="s">
        <v>1291</v>
      </c>
      <c r="C80" s="294" t="s">
        <v>1292</v>
      </c>
      <c r="D80" s="293" t="s">
        <v>383</v>
      </c>
      <c r="E80" s="325">
        <v>1</v>
      </c>
      <c r="F80" s="816">
        <v>2.2000000000000002</v>
      </c>
      <c r="G80" s="296">
        <f t="shared" si="4"/>
        <v>2.2000000000000002</v>
      </c>
    </row>
    <row r="81" spans="1:9" ht="20.399999999999999">
      <c r="A81" s="309" t="s">
        <v>1293</v>
      </c>
      <c r="B81" s="297" t="s">
        <v>1294</v>
      </c>
      <c r="C81" s="294" t="s">
        <v>1292</v>
      </c>
      <c r="D81" s="293" t="s">
        <v>383</v>
      </c>
      <c r="E81" s="325">
        <v>1</v>
      </c>
      <c r="F81" s="816">
        <v>0.71</v>
      </c>
      <c r="G81" s="312">
        <f t="shared" si="4"/>
        <v>0.71</v>
      </c>
    </row>
    <row r="82" spans="1:9" ht="20.399999999999999">
      <c r="A82" s="309" t="s">
        <v>1295</v>
      </c>
      <c r="B82" s="297" t="s">
        <v>1296</v>
      </c>
      <c r="C82" s="294" t="s">
        <v>1292</v>
      </c>
      <c r="D82" s="293" t="s">
        <v>383</v>
      </c>
      <c r="E82" s="325">
        <v>1</v>
      </c>
      <c r="F82" s="816">
        <v>0.35</v>
      </c>
      <c r="G82" s="296">
        <f t="shared" si="4"/>
        <v>0.35</v>
      </c>
    </row>
    <row r="83" spans="1:9" ht="20.399999999999999">
      <c r="A83" s="309" t="s">
        <v>1297</v>
      </c>
      <c r="B83" s="297" t="s">
        <v>1298</v>
      </c>
      <c r="C83" s="294" t="s">
        <v>1292</v>
      </c>
      <c r="D83" s="293" t="s">
        <v>383</v>
      </c>
      <c r="E83" s="325">
        <v>1</v>
      </c>
      <c r="F83" s="816">
        <v>7.0000000000000007E-2</v>
      </c>
      <c r="G83" s="296">
        <f t="shared" si="4"/>
        <v>7.0000000000000007E-2</v>
      </c>
    </row>
    <row r="84" spans="1:9">
      <c r="A84" s="309" t="s">
        <v>1467</v>
      </c>
      <c r="B84" s="297" t="s">
        <v>1197</v>
      </c>
      <c r="C84" s="294" t="s">
        <v>87</v>
      </c>
      <c r="D84" s="293" t="s">
        <v>383</v>
      </c>
      <c r="E84" s="325">
        <v>1</v>
      </c>
      <c r="F84" s="816">
        <v>0.34</v>
      </c>
      <c r="G84" s="296">
        <f t="shared" si="4"/>
        <v>0.34</v>
      </c>
    </row>
    <row r="85" spans="1:9" ht="14.1" customHeight="1">
      <c r="A85" s="309" t="s">
        <v>1299</v>
      </c>
      <c r="B85" s="297" t="s">
        <v>1223</v>
      </c>
      <c r="C85" s="294" t="s">
        <v>87</v>
      </c>
      <c r="D85" s="293" t="s">
        <v>383</v>
      </c>
      <c r="E85" s="325">
        <v>1</v>
      </c>
      <c r="F85" s="816">
        <v>1.08</v>
      </c>
      <c r="G85" s="296">
        <f t="shared" si="4"/>
        <v>1.08</v>
      </c>
    </row>
    <row r="86" spans="1:9" ht="20.399999999999999">
      <c r="A86" s="309">
        <v>95330</v>
      </c>
      <c r="B86" s="297" t="s">
        <v>1470</v>
      </c>
      <c r="C86" s="294" t="s">
        <v>104</v>
      </c>
      <c r="D86" s="293" t="s">
        <v>383</v>
      </c>
      <c r="E86" s="325">
        <v>1</v>
      </c>
      <c r="F86" s="816">
        <v>0.11</v>
      </c>
      <c r="G86" s="296">
        <f t="shared" si="4"/>
        <v>0.11</v>
      </c>
    </row>
    <row r="87" spans="1:9" ht="14.1" customHeight="1">
      <c r="C87" s="122"/>
      <c r="D87" s="328"/>
      <c r="E87" s="300"/>
      <c r="F87" s="301" t="s">
        <v>90</v>
      </c>
      <c r="G87" s="312">
        <f>G79+G86</f>
        <v>14.92</v>
      </c>
    </row>
    <row r="88" spans="1:9" ht="14.1" customHeight="1">
      <c r="C88" s="122"/>
      <c r="E88" s="300"/>
      <c r="F88" s="301" t="s">
        <v>92</v>
      </c>
      <c r="G88" s="312">
        <f>SUM(G80:G85)</f>
        <v>4.75</v>
      </c>
    </row>
    <row r="89" spans="1:9" ht="14.1" customHeight="1">
      <c r="A89" s="302"/>
      <c r="C89" s="122"/>
      <c r="D89" s="319"/>
      <c r="E89" s="300"/>
      <c r="F89" s="301" t="s">
        <v>93</v>
      </c>
      <c r="G89" s="811">
        <f>SUM(G87:G88)</f>
        <v>19.670000000000002</v>
      </c>
      <c r="H89" s="304"/>
    </row>
    <row r="90" spans="1:9">
      <c r="A90" s="305"/>
      <c r="B90" s="306"/>
      <c r="C90" s="308"/>
      <c r="D90" s="305"/>
      <c r="E90" s="306"/>
      <c r="F90" s="306"/>
      <c r="G90" s="306"/>
      <c r="H90" s="305"/>
      <c r="I90" s="305"/>
    </row>
    <row r="92" spans="1:9">
      <c r="A92" s="826" t="s">
        <v>2710</v>
      </c>
      <c r="C92" s="124"/>
      <c r="D92" s="122"/>
      <c r="E92" s="128"/>
      <c r="H92" s="122"/>
    </row>
    <row r="93" spans="1:9">
      <c r="A93" s="122" t="s">
        <v>33</v>
      </c>
      <c r="B93" s="149" t="s">
        <v>1471</v>
      </c>
      <c r="C93" s="124"/>
      <c r="D93" s="122"/>
      <c r="E93" s="128"/>
      <c r="H93" s="122"/>
    </row>
    <row r="94" spans="1:9" ht="15.75" customHeight="1">
      <c r="A94" s="122" t="s">
        <v>76</v>
      </c>
      <c r="B94" s="290" t="s">
        <v>110</v>
      </c>
      <c r="C94" s="318" t="s">
        <v>383</v>
      </c>
      <c r="D94" s="122" t="s">
        <v>2</v>
      </c>
      <c r="E94" s="128"/>
      <c r="H94" s="122"/>
    </row>
    <row r="95" spans="1:9" ht="20.399999999999999">
      <c r="A95" s="361" t="s">
        <v>30</v>
      </c>
      <c r="B95" s="297" t="s">
        <v>19</v>
      </c>
      <c r="C95" s="293" t="s">
        <v>81</v>
      </c>
      <c r="D95" s="293" t="s">
        <v>77</v>
      </c>
      <c r="E95" s="294" t="s">
        <v>82</v>
      </c>
      <c r="F95" s="295" t="s">
        <v>83</v>
      </c>
      <c r="G95" s="324" t="s">
        <v>84</v>
      </c>
      <c r="H95" s="122"/>
    </row>
    <row r="96" spans="1:9" ht="14.1" customHeight="1">
      <c r="A96" s="309">
        <v>6111</v>
      </c>
      <c r="B96" s="297" t="s">
        <v>1243</v>
      </c>
      <c r="C96" s="293" t="s">
        <v>104</v>
      </c>
      <c r="D96" s="293" t="s">
        <v>383</v>
      </c>
      <c r="E96" s="325">
        <v>1</v>
      </c>
      <c r="F96" s="821">
        <v>11.02</v>
      </c>
      <c r="G96" s="822">
        <f t="shared" ref="G96:G103" si="5">TRUNC(E96*F96,2)</f>
        <v>11.02</v>
      </c>
      <c r="H96" s="122"/>
    </row>
    <row r="97" spans="1:9" ht="20.399999999999999">
      <c r="A97" s="309" t="s">
        <v>1290</v>
      </c>
      <c r="B97" s="297" t="s">
        <v>1291</v>
      </c>
      <c r="C97" s="293" t="s">
        <v>1292</v>
      </c>
      <c r="D97" s="293" t="s">
        <v>383</v>
      </c>
      <c r="E97" s="325">
        <v>1</v>
      </c>
      <c r="F97" s="816">
        <v>2.2000000000000002</v>
      </c>
      <c r="G97" s="822">
        <f t="shared" si="5"/>
        <v>2.2000000000000002</v>
      </c>
      <c r="H97" s="122"/>
    </row>
    <row r="98" spans="1:9" ht="20.399999999999999">
      <c r="A98" s="309" t="s">
        <v>1293</v>
      </c>
      <c r="B98" s="297" t="s">
        <v>1294</v>
      </c>
      <c r="C98" s="293" t="s">
        <v>1292</v>
      </c>
      <c r="D98" s="293" t="s">
        <v>383</v>
      </c>
      <c r="E98" s="325">
        <v>1</v>
      </c>
      <c r="F98" s="816">
        <v>0.71</v>
      </c>
      <c r="G98" s="822">
        <f t="shared" si="5"/>
        <v>0.71</v>
      </c>
      <c r="H98" s="122"/>
    </row>
    <row r="99" spans="1:9" ht="20.399999999999999">
      <c r="A99" s="309" t="s">
        <v>1295</v>
      </c>
      <c r="B99" s="297" t="s">
        <v>1296</v>
      </c>
      <c r="C99" s="293" t="s">
        <v>1292</v>
      </c>
      <c r="D99" s="293" t="s">
        <v>383</v>
      </c>
      <c r="E99" s="325">
        <v>1</v>
      </c>
      <c r="F99" s="816">
        <v>0.35</v>
      </c>
      <c r="G99" s="822">
        <f t="shared" si="5"/>
        <v>0.35</v>
      </c>
      <c r="H99" s="122"/>
    </row>
    <row r="100" spans="1:9" ht="20.399999999999999">
      <c r="A100" s="309" t="s">
        <v>1297</v>
      </c>
      <c r="B100" s="297" t="s">
        <v>1298</v>
      </c>
      <c r="C100" s="293" t="s">
        <v>1292</v>
      </c>
      <c r="D100" s="293" t="s">
        <v>383</v>
      </c>
      <c r="E100" s="325">
        <v>1</v>
      </c>
      <c r="F100" s="816">
        <v>7.0000000000000007E-2</v>
      </c>
      <c r="G100" s="822">
        <f t="shared" si="5"/>
        <v>7.0000000000000007E-2</v>
      </c>
      <c r="H100" s="122"/>
    </row>
    <row r="101" spans="1:9">
      <c r="A101" s="309">
        <v>88236</v>
      </c>
      <c r="B101" s="297" t="s">
        <v>1197</v>
      </c>
      <c r="C101" s="293" t="s">
        <v>87</v>
      </c>
      <c r="D101" s="293" t="s">
        <v>383</v>
      </c>
      <c r="E101" s="325">
        <v>1</v>
      </c>
      <c r="F101" s="816">
        <v>0.38</v>
      </c>
      <c r="G101" s="822">
        <f t="shared" si="5"/>
        <v>0.38</v>
      </c>
      <c r="H101" s="122"/>
    </row>
    <row r="102" spans="1:9" ht="14.1" customHeight="1">
      <c r="A102" s="309" t="s">
        <v>1299</v>
      </c>
      <c r="B102" s="297" t="s">
        <v>1223</v>
      </c>
      <c r="C102" s="293" t="s">
        <v>87</v>
      </c>
      <c r="D102" s="293" t="s">
        <v>383</v>
      </c>
      <c r="E102" s="325">
        <v>1</v>
      </c>
      <c r="F102" s="816">
        <v>1.02</v>
      </c>
      <c r="G102" s="822">
        <f t="shared" si="5"/>
        <v>1.02</v>
      </c>
      <c r="H102" s="122"/>
    </row>
    <row r="103" spans="1:9" ht="20.399999999999999">
      <c r="A103" s="309">
        <v>95378</v>
      </c>
      <c r="B103" s="297" t="s">
        <v>1242</v>
      </c>
      <c r="C103" s="293" t="s">
        <v>104</v>
      </c>
      <c r="D103" s="293" t="s">
        <v>383</v>
      </c>
      <c r="E103" s="325">
        <v>1</v>
      </c>
      <c r="F103" s="816">
        <v>0.16</v>
      </c>
      <c r="G103" s="822">
        <f t="shared" si="5"/>
        <v>0.16</v>
      </c>
      <c r="H103" s="122"/>
    </row>
    <row r="104" spans="1:9" ht="14.1" customHeight="1">
      <c r="C104" s="124"/>
      <c r="D104" s="328"/>
      <c r="E104" s="300"/>
      <c r="F104" s="301" t="s">
        <v>90</v>
      </c>
      <c r="G104" s="312">
        <f>G96+G103</f>
        <v>11.18</v>
      </c>
      <c r="H104" s="122"/>
    </row>
    <row r="105" spans="1:9" ht="14.1" customHeight="1">
      <c r="C105" s="124"/>
      <c r="E105" s="300"/>
      <c r="F105" s="301" t="s">
        <v>92</v>
      </c>
      <c r="G105" s="312">
        <f>SUM(G97:G102)</f>
        <v>4.7300000000000004</v>
      </c>
      <c r="H105" s="122"/>
    </row>
    <row r="106" spans="1:9" ht="14.1" customHeight="1">
      <c r="A106" s="302"/>
      <c r="C106" s="124"/>
      <c r="D106" s="319"/>
      <c r="E106" s="300"/>
      <c r="F106" s="301" t="s">
        <v>93</v>
      </c>
      <c r="G106" s="820">
        <f>SUM(G104:G105)</f>
        <v>15.91</v>
      </c>
      <c r="H106" s="122"/>
    </row>
    <row r="107" spans="1:9">
      <c r="A107" s="305"/>
      <c r="B107" s="306"/>
      <c r="C107" s="308"/>
      <c r="D107" s="305"/>
      <c r="E107" s="306"/>
      <c r="F107" s="306"/>
      <c r="G107" s="306"/>
      <c r="H107" s="305"/>
      <c r="I107" s="305"/>
    </row>
    <row r="109" spans="1:9">
      <c r="A109" s="122" t="s">
        <v>2710</v>
      </c>
      <c r="C109" s="124"/>
      <c r="D109" s="122"/>
      <c r="E109" s="128"/>
      <c r="H109" s="122"/>
    </row>
    <row r="110" spans="1:9">
      <c r="A110" s="122" t="s">
        <v>33</v>
      </c>
      <c r="B110" s="149" t="s">
        <v>1472</v>
      </c>
      <c r="C110" s="124"/>
      <c r="D110" s="122"/>
      <c r="E110" s="128"/>
      <c r="H110" s="122"/>
    </row>
    <row r="111" spans="1:9" ht="25.5" customHeight="1">
      <c r="A111" s="122" t="s">
        <v>76</v>
      </c>
      <c r="B111" s="1289" t="s">
        <v>1473</v>
      </c>
      <c r="C111" s="1289"/>
      <c r="D111" s="150" t="s">
        <v>383</v>
      </c>
      <c r="H111" s="122"/>
    </row>
    <row r="112" spans="1:9" ht="20.399999999999999">
      <c r="A112" s="361" t="s">
        <v>30</v>
      </c>
      <c r="B112" s="297" t="s">
        <v>19</v>
      </c>
      <c r="C112" s="293" t="s">
        <v>81</v>
      </c>
      <c r="D112" s="293" t="s">
        <v>77</v>
      </c>
      <c r="E112" s="294" t="s">
        <v>82</v>
      </c>
      <c r="F112" s="295" t="s">
        <v>83</v>
      </c>
      <c r="G112" s="324" t="s">
        <v>84</v>
      </c>
      <c r="H112" s="122"/>
    </row>
    <row r="113" spans="1:9" ht="14.1" customHeight="1">
      <c r="A113" s="309">
        <v>4094</v>
      </c>
      <c r="B113" s="297" t="s">
        <v>1474</v>
      </c>
      <c r="C113" s="293" t="s">
        <v>104</v>
      </c>
      <c r="D113" s="293" t="s">
        <v>383</v>
      </c>
      <c r="E113" s="325">
        <v>1</v>
      </c>
      <c r="F113" s="878">
        <v>15.73</v>
      </c>
      <c r="G113" s="312">
        <f t="shared" ref="G113:G118" si="6">TRUNC(E113*F113,2)</f>
        <v>15.73</v>
      </c>
      <c r="H113" s="122"/>
    </row>
    <row r="114" spans="1:9" ht="20.399999999999999">
      <c r="A114" s="309" t="s">
        <v>1290</v>
      </c>
      <c r="B114" s="297" t="s">
        <v>1291</v>
      </c>
      <c r="C114" s="293" t="s">
        <v>1292</v>
      </c>
      <c r="D114" s="293" t="s">
        <v>383</v>
      </c>
      <c r="E114" s="325">
        <v>1</v>
      </c>
      <c r="F114" s="816">
        <v>2.2000000000000002</v>
      </c>
      <c r="G114" s="296">
        <f t="shared" si="6"/>
        <v>2.2000000000000002</v>
      </c>
      <c r="H114" s="122"/>
    </row>
    <row r="115" spans="1:9" ht="20.399999999999999">
      <c r="A115" s="309" t="s">
        <v>1293</v>
      </c>
      <c r="B115" s="297" t="s">
        <v>1294</v>
      </c>
      <c r="C115" s="293" t="s">
        <v>1292</v>
      </c>
      <c r="D115" s="293" t="s">
        <v>383</v>
      </c>
      <c r="E115" s="325">
        <v>1</v>
      </c>
      <c r="F115" s="816">
        <v>0.71</v>
      </c>
      <c r="G115" s="312">
        <f t="shared" si="6"/>
        <v>0.71</v>
      </c>
      <c r="H115" s="122"/>
    </row>
    <row r="116" spans="1:9" ht="20.399999999999999">
      <c r="A116" s="309" t="s">
        <v>1295</v>
      </c>
      <c r="B116" s="297" t="s">
        <v>1296</v>
      </c>
      <c r="C116" s="293" t="s">
        <v>1292</v>
      </c>
      <c r="D116" s="293" t="s">
        <v>383</v>
      </c>
      <c r="E116" s="325">
        <v>1</v>
      </c>
      <c r="F116" s="816">
        <v>0.35</v>
      </c>
      <c r="G116" s="296">
        <f t="shared" si="6"/>
        <v>0.35</v>
      </c>
      <c r="H116" s="122"/>
    </row>
    <row r="117" spans="1:9" ht="20.399999999999999">
      <c r="A117" s="309" t="s">
        <v>1297</v>
      </c>
      <c r="B117" s="297" t="s">
        <v>1298</v>
      </c>
      <c r="C117" s="293" t="s">
        <v>1292</v>
      </c>
      <c r="D117" s="293" t="s">
        <v>383</v>
      </c>
      <c r="E117" s="325">
        <v>1</v>
      </c>
      <c r="F117" s="816">
        <v>7.0000000000000007E-2</v>
      </c>
      <c r="G117" s="296">
        <f t="shared" si="6"/>
        <v>7.0000000000000007E-2</v>
      </c>
      <c r="H117" s="122"/>
    </row>
    <row r="118" spans="1:9" ht="20.399999999999999">
      <c r="A118" s="309">
        <v>95348</v>
      </c>
      <c r="B118" s="297" t="s">
        <v>1475</v>
      </c>
      <c r="C118" s="293" t="s">
        <v>104</v>
      </c>
      <c r="D118" s="293" t="s">
        <v>383</v>
      </c>
      <c r="E118" s="325">
        <v>1</v>
      </c>
      <c r="F118" s="816">
        <v>0.05</v>
      </c>
      <c r="G118" s="296">
        <f t="shared" si="6"/>
        <v>0.05</v>
      </c>
      <c r="H118" s="122"/>
    </row>
    <row r="119" spans="1:9" ht="14.1" customHeight="1">
      <c r="C119" s="124"/>
      <c r="D119" s="328"/>
      <c r="E119" s="300"/>
      <c r="F119" s="301" t="s">
        <v>90</v>
      </c>
      <c r="G119" s="312">
        <f>G113+G118</f>
        <v>15.780000000000001</v>
      </c>
      <c r="H119" s="122"/>
    </row>
    <row r="120" spans="1:9" ht="14.1" customHeight="1">
      <c r="C120" s="124"/>
      <c r="E120" s="300"/>
      <c r="F120" s="301" t="s">
        <v>92</v>
      </c>
      <c r="G120" s="312">
        <f>SUM(G114:G117)</f>
        <v>3.33</v>
      </c>
      <c r="H120" s="122"/>
    </row>
    <row r="121" spans="1:9" ht="14.1" customHeight="1">
      <c r="A121" s="302"/>
      <c r="C121" s="124"/>
      <c r="D121" s="319"/>
      <c r="E121" s="300"/>
      <c r="F121" s="301" t="s">
        <v>93</v>
      </c>
      <c r="G121" s="811">
        <f>SUM(G119:G120)</f>
        <v>19.11</v>
      </c>
      <c r="H121" s="122"/>
    </row>
    <row r="122" spans="1:9">
      <c r="A122" s="305"/>
      <c r="B122" s="306"/>
      <c r="C122" s="308"/>
      <c r="D122" s="305"/>
      <c r="E122" s="306"/>
      <c r="F122" s="306"/>
      <c r="G122" s="306"/>
      <c r="H122" s="305"/>
      <c r="I122" s="305"/>
    </row>
    <row r="124" spans="1:9">
      <c r="A124" s="122" t="s">
        <v>1287</v>
      </c>
      <c r="C124" s="124"/>
      <c r="D124" s="122"/>
      <c r="E124" s="128"/>
      <c r="H124" s="122"/>
    </row>
    <row r="125" spans="1:9">
      <c r="A125" s="122" t="s">
        <v>33</v>
      </c>
      <c r="B125" s="149" t="s">
        <v>1476</v>
      </c>
      <c r="C125" s="124"/>
      <c r="D125" s="122"/>
      <c r="E125" s="128"/>
      <c r="H125" s="122"/>
    </row>
    <row r="126" spans="1:9" ht="16.5" customHeight="1">
      <c r="A126" s="122" t="s">
        <v>76</v>
      </c>
      <c r="B126" s="1289" t="s">
        <v>1257</v>
      </c>
      <c r="C126" s="1289"/>
      <c r="D126" s="150" t="s">
        <v>383</v>
      </c>
      <c r="H126" s="122"/>
    </row>
    <row r="127" spans="1:9" ht="20.399999999999999">
      <c r="A127" s="361" t="s">
        <v>30</v>
      </c>
      <c r="B127" s="297" t="s">
        <v>19</v>
      </c>
      <c r="C127" s="293" t="s">
        <v>81</v>
      </c>
      <c r="D127" s="293" t="s">
        <v>77</v>
      </c>
      <c r="E127" s="294" t="s">
        <v>82</v>
      </c>
      <c r="F127" s="295" t="s">
        <v>83</v>
      </c>
      <c r="G127" s="324" t="s">
        <v>84</v>
      </c>
      <c r="H127" s="122"/>
    </row>
    <row r="128" spans="1:9" ht="14.1" customHeight="1">
      <c r="A128" s="309">
        <v>20020</v>
      </c>
      <c r="B128" s="297" t="s">
        <v>1477</v>
      </c>
      <c r="C128" s="293" t="s">
        <v>104</v>
      </c>
      <c r="D128" s="293" t="s">
        <v>383</v>
      </c>
      <c r="E128" s="325">
        <v>1</v>
      </c>
      <c r="F128" s="821">
        <v>11.1</v>
      </c>
      <c r="G128" s="312">
        <f t="shared" ref="G128:G133" si="7">TRUNC(E128*F128,2)</f>
        <v>11.1</v>
      </c>
      <c r="H128" s="122"/>
    </row>
    <row r="129" spans="1:9" ht="20.399999999999999">
      <c r="A129" s="309" t="s">
        <v>1290</v>
      </c>
      <c r="B129" s="297" t="s">
        <v>1291</v>
      </c>
      <c r="C129" s="293" t="s">
        <v>1292</v>
      </c>
      <c r="D129" s="293" t="s">
        <v>383</v>
      </c>
      <c r="E129" s="325">
        <v>1</v>
      </c>
      <c r="F129" s="816">
        <v>2.2000000000000002</v>
      </c>
      <c r="G129" s="296">
        <f t="shared" si="7"/>
        <v>2.2000000000000002</v>
      </c>
      <c r="H129" s="122"/>
    </row>
    <row r="130" spans="1:9" ht="20.399999999999999">
      <c r="A130" s="309" t="s">
        <v>1293</v>
      </c>
      <c r="B130" s="297" t="s">
        <v>1294</v>
      </c>
      <c r="C130" s="293" t="s">
        <v>1292</v>
      </c>
      <c r="D130" s="293" t="s">
        <v>383</v>
      </c>
      <c r="E130" s="325">
        <v>1</v>
      </c>
      <c r="F130" s="816">
        <v>0.71</v>
      </c>
      <c r="G130" s="312">
        <f t="shared" si="7"/>
        <v>0.71</v>
      </c>
      <c r="H130" s="122"/>
    </row>
    <row r="131" spans="1:9" ht="20.399999999999999">
      <c r="A131" s="309" t="s">
        <v>1295</v>
      </c>
      <c r="B131" s="297" t="s">
        <v>1296</v>
      </c>
      <c r="C131" s="293" t="s">
        <v>1292</v>
      </c>
      <c r="D131" s="293" t="s">
        <v>383</v>
      </c>
      <c r="E131" s="325">
        <v>1</v>
      </c>
      <c r="F131" s="816">
        <v>0.35</v>
      </c>
      <c r="G131" s="296">
        <f t="shared" si="7"/>
        <v>0.35</v>
      </c>
      <c r="H131" s="122"/>
    </row>
    <row r="132" spans="1:9" ht="20.399999999999999">
      <c r="A132" s="309" t="s">
        <v>1297</v>
      </c>
      <c r="B132" s="297" t="s">
        <v>1298</v>
      </c>
      <c r="C132" s="293" t="s">
        <v>1292</v>
      </c>
      <c r="D132" s="293" t="s">
        <v>383</v>
      </c>
      <c r="E132" s="325">
        <v>1</v>
      </c>
      <c r="F132" s="816">
        <v>7.0000000000000007E-2</v>
      </c>
      <c r="G132" s="296">
        <f t="shared" si="7"/>
        <v>7.0000000000000007E-2</v>
      </c>
      <c r="H132" s="122"/>
    </row>
    <row r="133" spans="1:9" ht="29.25" customHeight="1">
      <c r="A133" s="309">
        <v>95346</v>
      </c>
      <c r="B133" s="297" t="s">
        <v>1247</v>
      </c>
      <c r="C133" s="293" t="s">
        <v>104</v>
      </c>
      <c r="D133" s="293" t="s">
        <v>383</v>
      </c>
      <c r="E133" s="325">
        <v>1</v>
      </c>
      <c r="F133" s="816">
        <v>0.03</v>
      </c>
      <c r="G133" s="296">
        <f t="shared" si="7"/>
        <v>0.03</v>
      </c>
      <c r="H133" s="122"/>
    </row>
    <row r="134" spans="1:9" ht="14.1" customHeight="1">
      <c r="C134" s="124"/>
      <c r="D134" s="328"/>
      <c r="E134" s="300"/>
      <c r="F134" s="301" t="s">
        <v>90</v>
      </c>
      <c r="G134" s="312">
        <f>G128+G133</f>
        <v>11.129999999999999</v>
      </c>
      <c r="H134" s="122"/>
    </row>
    <row r="135" spans="1:9" ht="14.1" customHeight="1">
      <c r="C135" s="124"/>
      <c r="E135" s="300"/>
      <c r="F135" s="301" t="s">
        <v>92</v>
      </c>
      <c r="G135" s="312">
        <f>SUM(G129:G132)</f>
        <v>3.33</v>
      </c>
      <c r="H135" s="122"/>
    </row>
    <row r="136" spans="1:9" ht="14.1" customHeight="1">
      <c r="A136" s="302"/>
      <c r="C136" s="124"/>
      <c r="D136" s="319"/>
      <c r="E136" s="300"/>
      <c r="F136" s="301" t="s">
        <v>93</v>
      </c>
      <c r="G136" s="811">
        <f>SUM(G134:G135)</f>
        <v>14.459999999999999</v>
      </c>
      <c r="H136" s="122"/>
    </row>
    <row r="137" spans="1:9">
      <c r="A137" s="305"/>
      <c r="B137" s="306"/>
      <c r="C137" s="308"/>
      <c r="D137" s="305"/>
      <c r="E137" s="306"/>
      <c r="F137" s="306"/>
      <c r="G137" s="306"/>
      <c r="H137" s="305"/>
      <c r="I137" s="305"/>
    </row>
    <row r="139" spans="1:9">
      <c r="A139" s="826" t="s">
        <v>2710</v>
      </c>
      <c r="C139" s="124"/>
      <c r="D139" s="122"/>
      <c r="E139" s="128"/>
      <c r="H139" s="122"/>
    </row>
    <row r="140" spans="1:9">
      <c r="A140" s="122" t="s">
        <v>33</v>
      </c>
      <c r="B140" s="149" t="s">
        <v>1478</v>
      </c>
      <c r="C140" s="124"/>
      <c r="D140" s="122"/>
      <c r="E140" s="128"/>
      <c r="H140" s="122"/>
    </row>
    <row r="141" spans="1:9">
      <c r="A141" s="122" t="s">
        <v>76</v>
      </c>
      <c r="B141" s="1289" t="s">
        <v>118</v>
      </c>
      <c r="C141" s="1289"/>
      <c r="D141" s="150" t="s">
        <v>383</v>
      </c>
      <c r="H141" s="122"/>
    </row>
    <row r="142" spans="1:9" ht="20.399999999999999">
      <c r="A142" s="361" t="s">
        <v>30</v>
      </c>
      <c r="B142" s="297" t="s">
        <v>19</v>
      </c>
      <c r="C142" s="293" t="s">
        <v>81</v>
      </c>
      <c r="D142" s="293" t="s">
        <v>77</v>
      </c>
      <c r="E142" s="294" t="s">
        <v>82</v>
      </c>
      <c r="F142" s="295" t="s">
        <v>83</v>
      </c>
      <c r="G142" s="324" t="s">
        <v>84</v>
      </c>
    </row>
    <row r="143" spans="1:9" ht="14.1" customHeight="1">
      <c r="A143" s="309">
        <v>4750</v>
      </c>
      <c r="B143" s="297" t="s">
        <v>130</v>
      </c>
      <c r="C143" s="294" t="s">
        <v>104</v>
      </c>
      <c r="D143" s="293" t="s">
        <v>383</v>
      </c>
      <c r="E143" s="325">
        <v>1</v>
      </c>
      <c r="F143" s="821">
        <v>14.81</v>
      </c>
      <c r="G143" s="312">
        <f t="shared" ref="G143:G150" si="8">TRUNC(E143*F143,2)</f>
        <v>14.81</v>
      </c>
    </row>
    <row r="144" spans="1:9" ht="20.399999999999999">
      <c r="A144" s="309" t="s">
        <v>1290</v>
      </c>
      <c r="B144" s="297" t="s">
        <v>1291</v>
      </c>
      <c r="C144" s="294" t="s">
        <v>1292</v>
      </c>
      <c r="D144" s="293" t="s">
        <v>383</v>
      </c>
      <c r="E144" s="325">
        <v>1</v>
      </c>
      <c r="F144" s="816">
        <v>2.2000000000000002</v>
      </c>
      <c r="G144" s="296">
        <f t="shared" si="8"/>
        <v>2.2000000000000002</v>
      </c>
    </row>
    <row r="145" spans="1:9" ht="20.399999999999999">
      <c r="A145" s="309" t="s">
        <v>1293</v>
      </c>
      <c r="B145" s="297" t="s">
        <v>1294</v>
      </c>
      <c r="C145" s="294" t="s">
        <v>1292</v>
      </c>
      <c r="D145" s="293" t="s">
        <v>383</v>
      </c>
      <c r="E145" s="325">
        <v>1</v>
      </c>
      <c r="F145" s="816">
        <v>0.71</v>
      </c>
      <c r="G145" s="312">
        <f t="shared" si="8"/>
        <v>0.71</v>
      </c>
    </row>
    <row r="146" spans="1:9" ht="20.399999999999999">
      <c r="A146" s="309" t="s">
        <v>1295</v>
      </c>
      <c r="B146" s="297" t="s">
        <v>1296</v>
      </c>
      <c r="C146" s="294" t="s">
        <v>1292</v>
      </c>
      <c r="D146" s="293" t="s">
        <v>383</v>
      </c>
      <c r="E146" s="325">
        <v>1</v>
      </c>
      <c r="F146" s="816">
        <v>0.35</v>
      </c>
      <c r="G146" s="296">
        <f t="shared" si="8"/>
        <v>0.35</v>
      </c>
    </row>
    <row r="147" spans="1:9" ht="20.399999999999999">
      <c r="A147" s="309" t="s">
        <v>1297</v>
      </c>
      <c r="B147" s="297" t="s">
        <v>1298</v>
      </c>
      <c r="C147" s="294" t="s">
        <v>1292</v>
      </c>
      <c r="D147" s="293" t="s">
        <v>383</v>
      </c>
      <c r="E147" s="325">
        <v>1</v>
      </c>
      <c r="F147" s="816">
        <v>7.0000000000000007E-2</v>
      </c>
      <c r="G147" s="296">
        <f t="shared" si="8"/>
        <v>7.0000000000000007E-2</v>
      </c>
    </row>
    <row r="148" spans="1:9">
      <c r="A148" s="309" t="s">
        <v>1467</v>
      </c>
      <c r="B148" s="297" t="s">
        <v>1197</v>
      </c>
      <c r="C148" s="294" t="s">
        <v>87</v>
      </c>
      <c r="D148" s="293" t="s">
        <v>383</v>
      </c>
      <c r="E148" s="325">
        <v>1</v>
      </c>
      <c r="F148" s="816">
        <v>0.5</v>
      </c>
      <c r="G148" s="296">
        <f t="shared" si="8"/>
        <v>0.5</v>
      </c>
    </row>
    <row r="149" spans="1:9" ht="14.1" customHeight="1">
      <c r="A149" s="309" t="s">
        <v>1299</v>
      </c>
      <c r="B149" s="297" t="s">
        <v>1223</v>
      </c>
      <c r="C149" s="294" t="s">
        <v>87</v>
      </c>
      <c r="D149" s="293" t="s">
        <v>383</v>
      </c>
      <c r="E149" s="325">
        <v>1</v>
      </c>
      <c r="F149" s="816">
        <v>0.96</v>
      </c>
      <c r="G149" s="296">
        <f t="shared" si="8"/>
        <v>0.96</v>
      </c>
    </row>
    <row r="150" spans="1:9" ht="20.399999999999999">
      <c r="A150" s="309">
        <v>95371</v>
      </c>
      <c r="B150" s="297" t="s">
        <v>1253</v>
      </c>
      <c r="C150" s="294" t="s">
        <v>104</v>
      </c>
      <c r="D150" s="293" t="s">
        <v>383</v>
      </c>
      <c r="E150" s="325">
        <v>1</v>
      </c>
      <c r="F150" s="816">
        <v>0.21</v>
      </c>
      <c r="G150" s="296">
        <f t="shared" si="8"/>
        <v>0.21</v>
      </c>
    </row>
    <row r="151" spans="1:9" ht="14.1" customHeight="1">
      <c r="C151" s="122"/>
      <c r="D151" s="328"/>
      <c r="E151" s="300"/>
      <c r="F151" s="301" t="s">
        <v>90</v>
      </c>
      <c r="G151" s="312">
        <f>G143+G150</f>
        <v>15.020000000000001</v>
      </c>
    </row>
    <row r="152" spans="1:9" ht="14.1" customHeight="1">
      <c r="C152" s="122"/>
      <c r="E152" s="300"/>
      <c r="F152" s="301" t="s">
        <v>92</v>
      </c>
      <c r="G152" s="312">
        <f>SUM(G144:G149)</f>
        <v>4.79</v>
      </c>
    </row>
    <row r="153" spans="1:9" ht="14.1" customHeight="1">
      <c r="A153" s="302"/>
      <c r="C153" s="122"/>
      <c r="D153" s="319"/>
      <c r="E153" s="300"/>
      <c r="F153" s="301" t="s">
        <v>93</v>
      </c>
      <c r="G153" s="811">
        <f>SUM(G151:G152)</f>
        <v>19.810000000000002</v>
      </c>
      <c r="H153" s="304"/>
    </row>
    <row r="154" spans="1:9">
      <c r="A154" s="305"/>
      <c r="B154" s="306"/>
      <c r="C154" s="308"/>
      <c r="D154" s="305"/>
      <c r="E154" s="306"/>
      <c r="F154" s="306"/>
      <c r="G154" s="306"/>
      <c r="H154" s="305"/>
      <c r="I154" s="305"/>
    </row>
    <row r="156" spans="1:9">
      <c r="A156" s="122" t="s">
        <v>1287</v>
      </c>
      <c r="C156" s="124"/>
      <c r="D156" s="122"/>
      <c r="E156" s="128"/>
      <c r="H156" s="122"/>
    </row>
    <row r="157" spans="1:9">
      <c r="A157" s="122" t="s">
        <v>33</v>
      </c>
      <c r="B157" s="149" t="s">
        <v>1479</v>
      </c>
      <c r="C157" s="124"/>
      <c r="D157" s="122"/>
      <c r="E157" s="128"/>
      <c r="H157" s="122"/>
    </row>
    <row r="158" spans="1:9">
      <c r="A158" s="122" t="s">
        <v>76</v>
      </c>
      <c r="B158" s="1289" t="s">
        <v>1388</v>
      </c>
      <c r="C158" s="1289"/>
      <c r="D158" s="1289"/>
      <c r="E158" s="353" t="s">
        <v>383</v>
      </c>
      <c r="F158" s="353"/>
      <c r="H158" s="122"/>
    </row>
    <row r="159" spans="1:9" ht="20.399999999999999">
      <c r="A159" s="323" t="s">
        <v>30</v>
      </c>
      <c r="B159" s="297" t="s">
        <v>19</v>
      </c>
      <c r="C159" s="293" t="s">
        <v>81</v>
      </c>
      <c r="D159" s="293" t="s">
        <v>77</v>
      </c>
      <c r="E159" s="294" t="s">
        <v>82</v>
      </c>
      <c r="F159" s="295" t="s">
        <v>83</v>
      </c>
      <c r="G159" s="324" t="s">
        <v>84</v>
      </c>
    </row>
    <row r="160" spans="1:9" ht="14.1" customHeight="1">
      <c r="A160" s="309">
        <v>378</v>
      </c>
      <c r="B160" s="297" t="s">
        <v>1489</v>
      </c>
      <c r="C160" s="294" t="s">
        <v>104</v>
      </c>
      <c r="D160" s="293" t="s">
        <v>383</v>
      </c>
      <c r="E160" s="325">
        <v>1</v>
      </c>
      <c r="F160" s="878">
        <v>14.81</v>
      </c>
      <c r="G160" s="312">
        <f t="shared" ref="G160:G167" si="9">TRUNC(E160*F160,2)</f>
        <v>14.81</v>
      </c>
    </row>
    <row r="161" spans="1:9" ht="20.399999999999999">
      <c r="A161" s="309" t="s">
        <v>1290</v>
      </c>
      <c r="B161" s="297" t="s">
        <v>1291</v>
      </c>
      <c r="C161" s="294" t="s">
        <v>1292</v>
      </c>
      <c r="D161" s="293" t="s">
        <v>383</v>
      </c>
      <c r="E161" s="325">
        <v>1</v>
      </c>
      <c r="F161" s="816">
        <v>2.2000000000000002</v>
      </c>
      <c r="G161" s="296">
        <f t="shared" si="9"/>
        <v>2.2000000000000002</v>
      </c>
    </row>
    <row r="162" spans="1:9" ht="20.399999999999999">
      <c r="A162" s="309" t="s">
        <v>1293</v>
      </c>
      <c r="B162" s="297" t="s">
        <v>1294</v>
      </c>
      <c r="C162" s="294" t="s">
        <v>1292</v>
      </c>
      <c r="D162" s="293" t="s">
        <v>383</v>
      </c>
      <c r="E162" s="325">
        <v>1</v>
      </c>
      <c r="F162" s="816">
        <v>0.71</v>
      </c>
      <c r="G162" s="312">
        <f t="shared" si="9"/>
        <v>0.71</v>
      </c>
    </row>
    <row r="163" spans="1:9" ht="20.399999999999999">
      <c r="A163" s="309" t="s">
        <v>1295</v>
      </c>
      <c r="B163" s="297" t="s">
        <v>1296</v>
      </c>
      <c r="C163" s="294" t="s">
        <v>1292</v>
      </c>
      <c r="D163" s="293" t="s">
        <v>383</v>
      </c>
      <c r="E163" s="325">
        <v>1</v>
      </c>
      <c r="F163" s="816">
        <v>0.35</v>
      </c>
      <c r="G163" s="296">
        <f t="shared" si="9"/>
        <v>0.35</v>
      </c>
    </row>
    <row r="164" spans="1:9" ht="20.399999999999999">
      <c r="A164" s="309" t="s">
        <v>1297</v>
      </c>
      <c r="B164" s="297" t="s">
        <v>1298</v>
      </c>
      <c r="C164" s="294" t="s">
        <v>1292</v>
      </c>
      <c r="D164" s="293" t="s">
        <v>383</v>
      </c>
      <c r="E164" s="325">
        <v>1</v>
      </c>
      <c r="F164" s="816">
        <v>7.0000000000000007E-2</v>
      </c>
      <c r="G164" s="296">
        <f t="shared" si="9"/>
        <v>7.0000000000000007E-2</v>
      </c>
    </row>
    <row r="165" spans="1:9">
      <c r="A165" s="309" t="s">
        <v>1467</v>
      </c>
      <c r="B165" s="297" t="s">
        <v>1197</v>
      </c>
      <c r="C165" s="294" t="s">
        <v>87</v>
      </c>
      <c r="D165" s="293" t="s">
        <v>383</v>
      </c>
      <c r="E165" s="325">
        <v>1</v>
      </c>
      <c r="F165" s="816">
        <v>0.5</v>
      </c>
      <c r="G165" s="296">
        <f t="shared" si="9"/>
        <v>0.5</v>
      </c>
    </row>
    <row r="166" spans="1:9" ht="14.1" customHeight="1">
      <c r="A166" s="309" t="s">
        <v>1299</v>
      </c>
      <c r="B166" s="297" t="s">
        <v>1223</v>
      </c>
      <c r="C166" s="294" t="s">
        <v>87</v>
      </c>
      <c r="D166" s="293" t="s">
        <v>383</v>
      </c>
      <c r="E166" s="325">
        <v>1</v>
      </c>
      <c r="F166" s="816">
        <v>0.96</v>
      </c>
      <c r="G166" s="296">
        <f t="shared" si="9"/>
        <v>0.96</v>
      </c>
    </row>
    <row r="167" spans="1:9" ht="20.399999999999999">
      <c r="A167" s="309">
        <v>95314</v>
      </c>
      <c r="B167" s="297" t="s">
        <v>1381</v>
      </c>
      <c r="C167" s="294" t="s">
        <v>104</v>
      </c>
      <c r="D167" s="293" t="s">
        <v>383</v>
      </c>
      <c r="E167" s="325">
        <v>1</v>
      </c>
      <c r="F167" s="816">
        <v>0.11</v>
      </c>
      <c r="G167" s="296">
        <f t="shared" si="9"/>
        <v>0.11</v>
      </c>
    </row>
    <row r="168" spans="1:9" ht="14.1" customHeight="1">
      <c r="C168" s="122"/>
      <c r="D168" s="328"/>
      <c r="E168" s="300"/>
      <c r="F168" s="301" t="s">
        <v>90</v>
      </c>
      <c r="G168" s="312">
        <f>G160+G167</f>
        <v>14.92</v>
      </c>
    </row>
    <row r="169" spans="1:9" ht="14.1" customHeight="1">
      <c r="C169" s="122"/>
      <c r="E169" s="300"/>
      <c r="F169" s="301" t="s">
        <v>92</v>
      </c>
      <c r="G169" s="312">
        <f>SUM(G161:G166)</f>
        <v>4.79</v>
      </c>
    </row>
    <row r="170" spans="1:9" ht="14.1" customHeight="1">
      <c r="A170" s="302"/>
      <c r="C170" s="122"/>
      <c r="E170" s="300"/>
      <c r="F170" s="301" t="s">
        <v>93</v>
      </c>
      <c r="G170" s="820">
        <f>SUM(G168:G169)</f>
        <v>19.71</v>
      </c>
      <c r="H170" s="304"/>
    </row>
    <row r="171" spans="1:9">
      <c r="A171" s="305"/>
      <c r="B171" s="366"/>
      <c r="C171" s="308"/>
      <c r="D171" s="305"/>
      <c r="E171" s="306"/>
      <c r="F171" s="306"/>
      <c r="G171" s="306"/>
      <c r="H171" s="305"/>
      <c r="I171" s="305"/>
    </row>
    <row r="173" spans="1:9">
      <c r="A173" s="122" t="s">
        <v>1287</v>
      </c>
      <c r="C173" s="124"/>
      <c r="D173" s="122"/>
      <c r="E173" s="128"/>
      <c r="H173" s="122"/>
    </row>
    <row r="174" spans="1:9">
      <c r="A174" s="122" t="s">
        <v>33</v>
      </c>
      <c r="B174" s="149" t="s">
        <v>1480</v>
      </c>
      <c r="C174" s="124"/>
      <c r="D174" s="122"/>
      <c r="E174" s="128"/>
      <c r="H174" s="122"/>
    </row>
    <row r="175" spans="1:9">
      <c r="A175" s="122" t="s">
        <v>76</v>
      </c>
      <c r="B175" s="1289" t="s">
        <v>1387</v>
      </c>
      <c r="C175" s="1289"/>
      <c r="D175" s="1289"/>
      <c r="E175" s="353" t="s">
        <v>383</v>
      </c>
      <c r="F175" s="353"/>
      <c r="H175" s="122"/>
    </row>
    <row r="176" spans="1:9" ht="20.399999999999999">
      <c r="A176" s="361" t="s">
        <v>30</v>
      </c>
      <c r="B176" s="297" t="s">
        <v>19</v>
      </c>
      <c r="C176" s="293" t="s">
        <v>81</v>
      </c>
      <c r="D176" s="293" t="s">
        <v>77</v>
      </c>
      <c r="E176" s="294" t="s">
        <v>82</v>
      </c>
      <c r="F176" s="295" t="s">
        <v>83</v>
      </c>
      <c r="G176" s="324" t="s">
        <v>84</v>
      </c>
    </row>
    <row r="177" spans="1:9" ht="14.1" customHeight="1">
      <c r="A177" s="309">
        <v>6114</v>
      </c>
      <c r="B177" s="297" t="s">
        <v>1490</v>
      </c>
      <c r="C177" s="294" t="s">
        <v>104</v>
      </c>
      <c r="D177" s="293" t="s">
        <v>383</v>
      </c>
      <c r="E177" s="325">
        <v>1</v>
      </c>
      <c r="F177" s="326">
        <v>10.31</v>
      </c>
      <c r="G177" s="312">
        <f t="shared" ref="G177:G184" si="10">TRUNC(E177*F177,2)</f>
        <v>10.31</v>
      </c>
    </row>
    <row r="178" spans="1:9" ht="20.399999999999999">
      <c r="A178" s="309" t="s">
        <v>1290</v>
      </c>
      <c r="B178" s="297" t="s">
        <v>1291</v>
      </c>
      <c r="C178" s="294" t="s">
        <v>1292</v>
      </c>
      <c r="D178" s="293" t="s">
        <v>383</v>
      </c>
      <c r="E178" s="325">
        <v>1</v>
      </c>
      <c r="F178" s="327">
        <v>2.2000000000000002</v>
      </c>
      <c r="G178" s="296">
        <f t="shared" si="10"/>
        <v>2.2000000000000002</v>
      </c>
    </row>
    <row r="179" spans="1:9" ht="20.399999999999999">
      <c r="A179" s="309" t="s">
        <v>1293</v>
      </c>
      <c r="B179" s="297" t="s">
        <v>1294</v>
      </c>
      <c r="C179" s="294" t="s">
        <v>1292</v>
      </c>
      <c r="D179" s="293" t="s">
        <v>383</v>
      </c>
      <c r="E179" s="325">
        <v>1</v>
      </c>
      <c r="F179" s="327">
        <v>0.72</v>
      </c>
      <c r="G179" s="312">
        <f t="shared" si="10"/>
        <v>0.72</v>
      </c>
    </row>
    <row r="180" spans="1:9" ht="20.399999999999999">
      <c r="A180" s="309" t="s">
        <v>1295</v>
      </c>
      <c r="B180" s="297" t="s">
        <v>1296</v>
      </c>
      <c r="C180" s="294" t="s">
        <v>1292</v>
      </c>
      <c r="D180" s="293" t="s">
        <v>383</v>
      </c>
      <c r="E180" s="325">
        <v>1</v>
      </c>
      <c r="F180" s="327">
        <v>0.35</v>
      </c>
      <c r="G180" s="296">
        <f t="shared" si="10"/>
        <v>0.35</v>
      </c>
    </row>
    <row r="181" spans="1:9" ht="20.399999999999999">
      <c r="A181" s="309" t="s">
        <v>1297</v>
      </c>
      <c r="B181" s="297" t="s">
        <v>1298</v>
      </c>
      <c r="C181" s="294" t="s">
        <v>1292</v>
      </c>
      <c r="D181" s="293" t="s">
        <v>383</v>
      </c>
      <c r="E181" s="325">
        <v>1</v>
      </c>
      <c r="F181" s="327">
        <v>7.0000000000000007E-2</v>
      </c>
      <c r="G181" s="296">
        <f t="shared" si="10"/>
        <v>7.0000000000000007E-2</v>
      </c>
    </row>
    <row r="182" spans="1:9">
      <c r="A182" s="309" t="s">
        <v>1467</v>
      </c>
      <c r="B182" s="297" t="s">
        <v>1197</v>
      </c>
      <c r="C182" s="294" t="s">
        <v>87</v>
      </c>
      <c r="D182" s="293" t="s">
        <v>383</v>
      </c>
      <c r="E182" s="325">
        <v>1</v>
      </c>
      <c r="F182" s="327">
        <v>0.5</v>
      </c>
      <c r="G182" s="296">
        <f t="shared" si="10"/>
        <v>0.5</v>
      </c>
    </row>
    <row r="183" spans="1:9" ht="14.1" customHeight="1">
      <c r="A183" s="309" t="s">
        <v>1299</v>
      </c>
      <c r="B183" s="297" t="s">
        <v>1223</v>
      </c>
      <c r="C183" s="294" t="s">
        <v>87</v>
      </c>
      <c r="D183" s="293" t="s">
        <v>383</v>
      </c>
      <c r="E183" s="325">
        <v>1</v>
      </c>
      <c r="F183" s="327">
        <v>0.96</v>
      </c>
      <c r="G183" s="296">
        <f t="shared" si="10"/>
        <v>0.96</v>
      </c>
    </row>
    <row r="184" spans="1:9" ht="20.399999999999999">
      <c r="A184" s="309">
        <v>95308</v>
      </c>
      <c r="B184" s="297" t="s">
        <v>1379</v>
      </c>
      <c r="C184" s="294" t="s">
        <v>104</v>
      </c>
      <c r="D184" s="293" t="s">
        <v>383</v>
      </c>
      <c r="E184" s="325">
        <v>1</v>
      </c>
      <c r="F184" s="327">
        <v>0.08</v>
      </c>
      <c r="G184" s="296">
        <f t="shared" si="10"/>
        <v>0.08</v>
      </c>
    </row>
    <row r="185" spans="1:9" ht="14.1" customHeight="1">
      <c r="C185" s="122"/>
      <c r="D185" s="328"/>
      <c r="E185" s="300"/>
      <c r="F185" s="301" t="s">
        <v>90</v>
      </c>
      <c r="G185" s="312">
        <f>G177+G184</f>
        <v>10.39</v>
      </c>
    </row>
    <row r="186" spans="1:9" ht="14.1" customHeight="1">
      <c r="C186" s="122"/>
      <c r="E186" s="300"/>
      <c r="F186" s="301" t="s">
        <v>92</v>
      </c>
      <c r="G186" s="312">
        <f>SUM(G178:G183)</f>
        <v>4.8</v>
      </c>
    </row>
    <row r="187" spans="1:9" ht="14.1" customHeight="1">
      <c r="A187" s="302"/>
      <c r="C187" s="122"/>
      <c r="E187" s="300"/>
      <c r="F187" s="301" t="s">
        <v>93</v>
      </c>
      <c r="G187" s="820">
        <f>SUM(G185:G186)</f>
        <v>15.190000000000001</v>
      </c>
      <c r="H187" s="304"/>
    </row>
    <row r="188" spans="1:9">
      <c r="A188" s="305"/>
      <c r="B188" s="366"/>
      <c r="C188" s="308"/>
      <c r="D188" s="305"/>
      <c r="E188" s="306"/>
      <c r="F188" s="306"/>
      <c r="G188" s="306"/>
      <c r="H188" s="305"/>
      <c r="I188" s="305"/>
    </row>
    <row r="190" spans="1:9">
      <c r="A190" s="122" t="s">
        <v>1287</v>
      </c>
      <c r="C190" s="124"/>
      <c r="D190" s="122"/>
      <c r="E190" s="128"/>
      <c r="H190" s="122"/>
    </row>
    <row r="191" spans="1:9">
      <c r="A191" s="122" t="s">
        <v>33</v>
      </c>
      <c r="B191" s="149" t="s">
        <v>1481</v>
      </c>
      <c r="C191" s="124"/>
      <c r="D191" s="122"/>
      <c r="E191" s="128"/>
      <c r="H191" s="122"/>
    </row>
    <row r="192" spans="1:9" ht="15" customHeight="1">
      <c r="A192" s="122" t="s">
        <v>76</v>
      </c>
      <c r="B192" s="1289" t="s">
        <v>942</v>
      </c>
      <c r="C192" s="1289"/>
      <c r="D192" s="1289"/>
      <c r="E192" s="353" t="s">
        <v>383</v>
      </c>
      <c r="F192" s="353"/>
      <c r="H192" s="122"/>
    </row>
    <row r="193" spans="1:9" ht="20.399999999999999">
      <c r="A193" s="361" t="s">
        <v>30</v>
      </c>
      <c r="B193" s="297" t="s">
        <v>19</v>
      </c>
      <c r="C193" s="293" t="s">
        <v>81</v>
      </c>
      <c r="D193" s="293" t="s">
        <v>77</v>
      </c>
      <c r="E193" s="294" t="s">
        <v>82</v>
      </c>
      <c r="F193" s="295" t="s">
        <v>83</v>
      </c>
      <c r="G193" s="324" t="s">
        <v>84</v>
      </c>
    </row>
    <row r="194" spans="1:9" ht="14.1" customHeight="1">
      <c r="A194" s="309">
        <v>6117</v>
      </c>
      <c r="B194" s="297" t="s">
        <v>1433</v>
      </c>
      <c r="C194" s="294" t="s">
        <v>104</v>
      </c>
      <c r="D194" s="293" t="s">
        <v>383</v>
      </c>
      <c r="E194" s="325">
        <v>1</v>
      </c>
      <c r="F194" s="326">
        <v>13.74</v>
      </c>
      <c r="G194" s="312">
        <f t="shared" ref="G194:G201" si="11">TRUNC(E194*F194,2)</f>
        <v>13.74</v>
      </c>
    </row>
    <row r="195" spans="1:9" ht="20.399999999999999">
      <c r="A195" s="309" t="s">
        <v>1290</v>
      </c>
      <c r="B195" s="297" t="s">
        <v>1291</v>
      </c>
      <c r="C195" s="294" t="s">
        <v>1292</v>
      </c>
      <c r="D195" s="293" t="s">
        <v>383</v>
      </c>
      <c r="E195" s="325">
        <v>1</v>
      </c>
      <c r="F195" s="327">
        <v>2.2000000000000002</v>
      </c>
      <c r="G195" s="296">
        <f t="shared" si="11"/>
        <v>2.2000000000000002</v>
      </c>
    </row>
    <row r="196" spans="1:9" ht="20.399999999999999">
      <c r="A196" s="309" t="s">
        <v>1293</v>
      </c>
      <c r="B196" s="297" t="s">
        <v>1294</v>
      </c>
      <c r="C196" s="294" t="s">
        <v>1292</v>
      </c>
      <c r="D196" s="293" t="s">
        <v>383</v>
      </c>
      <c r="E196" s="325">
        <v>1</v>
      </c>
      <c r="F196" s="327">
        <v>0.71</v>
      </c>
      <c r="G196" s="312">
        <f t="shared" si="11"/>
        <v>0.71</v>
      </c>
    </row>
    <row r="197" spans="1:9" ht="20.399999999999999">
      <c r="A197" s="309" t="s">
        <v>1295</v>
      </c>
      <c r="B197" s="297" t="s">
        <v>1296</v>
      </c>
      <c r="C197" s="294" t="s">
        <v>1292</v>
      </c>
      <c r="D197" s="293" t="s">
        <v>383</v>
      </c>
      <c r="E197" s="325">
        <v>1</v>
      </c>
      <c r="F197" s="327">
        <v>0.35</v>
      </c>
      <c r="G197" s="296">
        <f t="shared" si="11"/>
        <v>0.35</v>
      </c>
    </row>
    <row r="198" spans="1:9" ht="20.399999999999999">
      <c r="A198" s="309" t="s">
        <v>1297</v>
      </c>
      <c r="B198" s="297" t="s">
        <v>1298</v>
      </c>
      <c r="C198" s="294" t="s">
        <v>1292</v>
      </c>
      <c r="D198" s="293" t="s">
        <v>383</v>
      </c>
      <c r="E198" s="325">
        <v>1</v>
      </c>
      <c r="F198" s="327">
        <v>7.0000000000000007E-2</v>
      </c>
      <c r="G198" s="296">
        <f t="shared" si="11"/>
        <v>7.0000000000000007E-2</v>
      </c>
    </row>
    <row r="199" spans="1:9">
      <c r="A199" s="309" t="s">
        <v>1467</v>
      </c>
      <c r="B199" s="297" t="s">
        <v>1197</v>
      </c>
      <c r="C199" s="294" t="s">
        <v>87</v>
      </c>
      <c r="D199" s="293" t="s">
        <v>383</v>
      </c>
      <c r="E199" s="325">
        <v>1</v>
      </c>
      <c r="F199" s="327">
        <v>0.44</v>
      </c>
      <c r="G199" s="296">
        <f t="shared" si="11"/>
        <v>0.44</v>
      </c>
    </row>
    <row r="200" spans="1:9" ht="14.1" customHeight="1">
      <c r="A200" s="309" t="s">
        <v>1299</v>
      </c>
      <c r="B200" s="297" t="s">
        <v>1223</v>
      </c>
      <c r="C200" s="294" t="s">
        <v>87</v>
      </c>
      <c r="D200" s="293" t="s">
        <v>383</v>
      </c>
      <c r="E200" s="325">
        <v>1</v>
      </c>
      <c r="F200" s="327">
        <f>G38</f>
        <v>0.98</v>
      </c>
      <c r="G200" s="296">
        <f t="shared" si="11"/>
        <v>0.98</v>
      </c>
    </row>
    <row r="201" spans="1:9" ht="20.399999999999999">
      <c r="A201" s="309">
        <v>95309</v>
      </c>
      <c r="B201" s="297" t="s">
        <v>1432</v>
      </c>
      <c r="C201" s="294" t="s">
        <v>104</v>
      </c>
      <c r="D201" s="293" t="s">
        <v>383</v>
      </c>
      <c r="E201" s="325">
        <v>1</v>
      </c>
      <c r="F201" s="327">
        <v>0.14000000000000001</v>
      </c>
      <c r="G201" s="296">
        <f t="shared" si="11"/>
        <v>0.14000000000000001</v>
      </c>
    </row>
    <row r="202" spans="1:9" ht="14.1" customHeight="1">
      <c r="C202" s="122"/>
      <c r="D202" s="328"/>
      <c r="E202" s="300"/>
      <c r="F202" s="301" t="s">
        <v>90</v>
      </c>
      <c r="G202" s="312">
        <f>G194+G201</f>
        <v>13.88</v>
      </c>
    </row>
    <row r="203" spans="1:9" ht="14.1" customHeight="1">
      <c r="C203" s="122"/>
      <c r="E203" s="300"/>
      <c r="F203" s="301" t="s">
        <v>92</v>
      </c>
      <c r="G203" s="312">
        <f>SUM(G195:G200)</f>
        <v>4.75</v>
      </c>
    </row>
    <row r="204" spans="1:9" ht="14.1" customHeight="1">
      <c r="A204" s="302"/>
      <c r="C204" s="122"/>
      <c r="E204" s="300"/>
      <c r="F204" s="301" t="s">
        <v>93</v>
      </c>
      <c r="G204" s="820">
        <f>SUM(G202:G203)</f>
        <v>18.630000000000003</v>
      </c>
      <c r="H204" s="304"/>
    </row>
    <row r="205" spans="1:9">
      <c r="A205" s="305"/>
      <c r="B205" s="366"/>
      <c r="C205" s="308"/>
      <c r="D205" s="305"/>
      <c r="E205" s="306"/>
      <c r="F205" s="306"/>
      <c r="G205" s="306"/>
      <c r="H205" s="305"/>
      <c r="I205" s="305"/>
    </row>
    <row r="207" spans="1:9">
      <c r="A207" s="122" t="s">
        <v>1287</v>
      </c>
      <c r="C207" s="124"/>
      <c r="D207" s="122"/>
      <c r="E207" s="128"/>
      <c r="H207" s="122"/>
    </row>
    <row r="208" spans="1:9">
      <c r="A208" s="122" t="s">
        <v>33</v>
      </c>
      <c r="B208" s="149" t="s">
        <v>2756</v>
      </c>
      <c r="C208" s="124"/>
      <c r="D208" s="122"/>
      <c r="E208" s="128"/>
      <c r="H208" s="122"/>
    </row>
    <row r="209" spans="1:9">
      <c r="A209" s="122" t="s">
        <v>76</v>
      </c>
      <c r="B209" s="353" t="s">
        <v>902</v>
      </c>
      <c r="C209" s="353" t="s">
        <v>383</v>
      </c>
      <c r="D209" s="353"/>
      <c r="E209" s="128"/>
      <c r="F209" s="353"/>
      <c r="H209" s="122"/>
    </row>
    <row r="210" spans="1:9" ht="20.399999999999999">
      <c r="A210" s="361" t="s">
        <v>30</v>
      </c>
      <c r="B210" s="297" t="s">
        <v>19</v>
      </c>
      <c r="C210" s="293" t="s">
        <v>81</v>
      </c>
      <c r="D210" s="293" t="s">
        <v>77</v>
      </c>
      <c r="E210" s="294" t="s">
        <v>82</v>
      </c>
      <c r="F210" s="295" t="s">
        <v>83</v>
      </c>
      <c r="G210" s="324" t="s">
        <v>84</v>
      </c>
    </row>
    <row r="211" spans="1:9" ht="14.1" customHeight="1">
      <c r="A211" s="309">
        <v>12869</v>
      </c>
      <c r="B211" s="297" t="s">
        <v>1430</v>
      </c>
      <c r="C211" s="294" t="s">
        <v>104</v>
      </c>
      <c r="D211" s="293" t="s">
        <v>383</v>
      </c>
      <c r="E211" s="325">
        <v>1</v>
      </c>
      <c r="F211" s="815">
        <v>16.149999999999999</v>
      </c>
      <c r="G211" s="312">
        <f t="shared" ref="G211:G218" si="12">TRUNC(E211*F211,2)</f>
        <v>16.149999999999999</v>
      </c>
    </row>
    <row r="212" spans="1:9" ht="20.399999999999999">
      <c r="A212" s="309" t="s">
        <v>1290</v>
      </c>
      <c r="B212" s="297" t="s">
        <v>1291</v>
      </c>
      <c r="C212" s="294" t="s">
        <v>1292</v>
      </c>
      <c r="D212" s="293" t="s">
        <v>383</v>
      </c>
      <c r="E212" s="325">
        <v>1</v>
      </c>
      <c r="F212" s="816">
        <v>2.2000000000000002</v>
      </c>
      <c r="G212" s="296">
        <f t="shared" si="12"/>
        <v>2.2000000000000002</v>
      </c>
    </row>
    <row r="213" spans="1:9" ht="20.399999999999999">
      <c r="A213" s="309" t="s">
        <v>1293</v>
      </c>
      <c r="B213" s="297" t="s">
        <v>1294</v>
      </c>
      <c r="C213" s="294" t="s">
        <v>1292</v>
      </c>
      <c r="D213" s="293" t="s">
        <v>383</v>
      </c>
      <c r="E213" s="325">
        <v>1</v>
      </c>
      <c r="F213" s="816">
        <v>0.71</v>
      </c>
      <c r="G213" s="312">
        <f t="shared" si="12"/>
        <v>0.71</v>
      </c>
    </row>
    <row r="214" spans="1:9" ht="20.399999999999999">
      <c r="A214" s="309" t="s">
        <v>1295</v>
      </c>
      <c r="B214" s="297" t="s">
        <v>1296</v>
      </c>
      <c r="C214" s="294" t="s">
        <v>1292</v>
      </c>
      <c r="D214" s="293" t="s">
        <v>383</v>
      </c>
      <c r="E214" s="325">
        <v>1</v>
      </c>
      <c r="F214" s="816">
        <v>0.35</v>
      </c>
      <c r="G214" s="296">
        <f t="shared" si="12"/>
        <v>0.35</v>
      </c>
    </row>
    <row r="215" spans="1:9" ht="20.399999999999999">
      <c r="A215" s="309" t="s">
        <v>1297</v>
      </c>
      <c r="B215" s="297" t="s">
        <v>1298</v>
      </c>
      <c r="C215" s="294" t="s">
        <v>1292</v>
      </c>
      <c r="D215" s="293" t="s">
        <v>383</v>
      </c>
      <c r="E215" s="325">
        <v>1</v>
      </c>
      <c r="F215" s="816">
        <v>7.0000000000000007E-2</v>
      </c>
      <c r="G215" s="296">
        <f t="shared" si="12"/>
        <v>7.0000000000000007E-2</v>
      </c>
    </row>
    <row r="216" spans="1:9">
      <c r="A216" s="309" t="s">
        <v>1467</v>
      </c>
      <c r="B216" s="297" t="s">
        <v>1197</v>
      </c>
      <c r="C216" s="294" t="s">
        <v>87</v>
      </c>
      <c r="D216" s="293" t="s">
        <v>383</v>
      </c>
      <c r="E216" s="325">
        <v>1</v>
      </c>
      <c r="F216" s="816">
        <v>0.34</v>
      </c>
      <c r="G216" s="296">
        <f t="shared" si="12"/>
        <v>0.34</v>
      </c>
    </row>
    <row r="217" spans="1:9" ht="14.1" customHeight="1">
      <c r="A217" s="309" t="s">
        <v>1299</v>
      </c>
      <c r="B217" s="297" t="s">
        <v>1223</v>
      </c>
      <c r="C217" s="294" t="s">
        <v>87</v>
      </c>
      <c r="D217" s="293" t="s">
        <v>383</v>
      </c>
      <c r="E217" s="325">
        <v>1</v>
      </c>
      <c r="F217" s="816">
        <v>1.08</v>
      </c>
      <c r="G217" s="296">
        <f t="shared" si="12"/>
        <v>1.08</v>
      </c>
    </row>
    <row r="218" spans="1:9" ht="20.399999999999999">
      <c r="A218" s="309">
        <v>95385</v>
      </c>
      <c r="B218" s="297" t="s">
        <v>1429</v>
      </c>
      <c r="C218" s="294" t="s">
        <v>104</v>
      </c>
      <c r="D218" s="293" t="s">
        <v>383</v>
      </c>
      <c r="E218" s="325">
        <v>1</v>
      </c>
      <c r="F218" s="816">
        <f>G1526</f>
        <v>0.12</v>
      </c>
      <c r="G218" s="296">
        <f t="shared" si="12"/>
        <v>0.12</v>
      </c>
    </row>
    <row r="219" spans="1:9" ht="14.1" customHeight="1">
      <c r="C219" s="122"/>
      <c r="D219" s="328"/>
      <c r="E219" s="300"/>
      <c r="F219" s="301" t="s">
        <v>90</v>
      </c>
      <c r="G219" s="312">
        <f>G211+G218</f>
        <v>16.27</v>
      </c>
    </row>
    <row r="220" spans="1:9" ht="14.1" customHeight="1">
      <c r="C220" s="122"/>
      <c r="E220" s="300"/>
      <c r="F220" s="301" t="s">
        <v>92</v>
      </c>
      <c r="G220" s="312">
        <f>SUM(G212:G217)</f>
        <v>4.75</v>
      </c>
    </row>
    <row r="221" spans="1:9" ht="14.1" customHeight="1">
      <c r="A221" s="302"/>
      <c r="C221" s="122"/>
      <c r="E221" s="300"/>
      <c r="F221" s="301" t="s">
        <v>93</v>
      </c>
      <c r="G221" s="820">
        <f>SUM(G219:G220)</f>
        <v>21.02</v>
      </c>
      <c r="H221" s="304"/>
    </row>
    <row r="222" spans="1:9">
      <c r="A222" s="305"/>
      <c r="B222" s="366"/>
      <c r="C222" s="308"/>
      <c r="D222" s="305"/>
      <c r="E222" s="306"/>
      <c r="F222" s="306"/>
      <c r="G222" s="306"/>
      <c r="H222" s="305"/>
      <c r="I222" s="305"/>
    </row>
    <row r="224" spans="1:9">
      <c r="A224" s="826" t="s">
        <v>2710</v>
      </c>
      <c r="C224" s="124"/>
      <c r="D224" s="122"/>
      <c r="E224" s="128"/>
      <c r="H224" s="122"/>
    </row>
    <row r="225" spans="1:9">
      <c r="A225" s="122" t="s">
        <v>33</v>
      </c>
      <c r="B225" s="149" t="s">
        <v>1482</v>
      </c>
      <c r="C225" s="124"/>
      <c r="D225" s="122"/>
      <c r="E225" s="128"/>
      <c r="H225" s="122"/>
    </row>
    <row r="226" spans="1:9">
      <c r="A226" s="122" t="s">
        <v>76</v>
      </c>
      <c r="B226" s="1289" t="s">
        <v>995</v>
      </c>
      <c r="C226" s="1289"/>
      <c r="D226" s="1289"/>
      <c r="E226" s="353" t="s">
        <v>383</v>
      </c>
      <c r="F226" s="353"/>
      <c r="H226" s="122"/>
    </row>
    <row r="227" spans="1:9" ht="20.399999999999999">
      <c r="A227" s="361" t="s">
        <v>30</v>
      </c>
      <c r="B227" s="297" t="s">
        <v>19</v>
      </c>
      <c r="C227" s="293" t="s">
        <v>81</v>
      </c>
      <c r="D227" s="293" t="s">
        <v>77</v>
      </c>
      <c r="E227" s="294" t="s">
        <v>82</v>
      </c>
      <c r="F227" s="295" t="s">
        <v>83</v>
      </c>
      <c r="G227" s="324" t="s">
        <v>84</v>
      </c>
    </row>
    <row r="228" spans="1:9" ht="14.1" customHeight="1">
      <c r="A228" s="309">
        <v>4783</v>
      </c>
      <c r="B228" s="297" t="s">
        <v>1436</v>
      </c>
      <c r="C228" s="294" t="s">
        <v>104</v>
      </c>
      <c r="D228" s="293" t="s">
        <v>383</v>
      </c>
      <c r="E228" s="325">
        <v>1</v>
      </c>
      <c r="F228" s="815">
        <v>14.81</v>
      </c>
      <c r="G228" s="312">
        <f t="shared" ref="G228:G235" si="13">TRUNC(E228*F228,2)</f>
        <v>14.81</v>
      </c>
    </row>
    <row r="229" spans="1:9" ht="20.399999999999999">
      <c r="A229" s="309" t="s">
        <v>1290</v>
      </c>
      <c r="B229" s="297" t="s">
        <v>1291</v>
      </c>
      <c r="C229" s="294" t="s">
        <v>1292</v>
      </c>
      <c r="D229" s="293" t="s">
        <v>383</v>
      </c>
      <c r="E229" s="325">
        <v>1</v>
      </c>
      <c r="F229" s="816">
        <v>2.2000000000000002</v>
      </c>
      <c r="G229" s="296">
        <f t="shared" si="13"/>
        <v>2.2000000000000002</v>
      </c>
    </row>
    <row r="230" spans="1:9" ht="20.399999999999999">
      <c r="A230" s="309" t="s">
        <v>1293</v>
      </c>
      <c r="B230" s="297" t="s">
        <v>1294</v>
      </c>
      <c r="C230" s="294" t="s">
        <v>1292</v>
      </c>
      <c r="D230" s="293" t="s">
        <v>383</v>
      </c>
      <c r="E230" s="325">
        <v>1</v>
      </c>
      <c r="F230" s="816">
        <v>0.71</v>
      </c>
      <c r="G230" s="312">
        <f t="shared" si="13"/>
        <v>0.71</v>
      </c>
    </row>
    <row r="231" spans="1:9" ht="20.399999999999999">
      <c r="A231" s="309" t="s">
        <v>1295</v>
      </c>
      <c r="B231" s="297" t="s">
        <v>1296</v>
      </c>
      <c r="C231" s="294" t="s">
        <v>1292</v>
      </c>
      <c r="D231" s="293" t="s">
        <v>383</v>
      </c>
      <c r="E231" s="325">
        <v>1</v>
      </c>
      <c r="F231" s="816">
        <v>0.35</v>
      </c>
      <c r="G231" s="296">
        <f t="shared" si="13"/>
        <v>0.35</v>
      </c>
    </row>
    <row r="232" spans="1:9" ht="20.399999999999999">
      <c r="A232" s="309" t="s">
        <v>1297</v>
      </c>
      <c r="B232" s="297" t="s">
        <v>1298</v>
      </c>
      <c r="C232" s="294" t="s">
        <v>1292</v>
      </c>
      <c r="D232" s="293" t="s">
        <v>383</v>
      </c>
      <c r="E232" s="325">
        <v>1</v>
      </c>
      <c r="F232" s="816">
        <v>7.0000000000000007E-2</v>
      </c>
      <c r="G232" s="296">
        <f t="shared" si="13"/>
        <v>7.0000000000000007E-2</v>
      </c>
    </row>
    <row r="233" spans="1:9">
      <c r="A233" s="309" t="s">
        <v>1467</v>
      </c>
      <c r="B233" s="297" t="s">
        <v>1197</v>
      </c>
      <c r="C233" s="294" t="s">
        <v>87</v>
      </c>
      <c r="D233" s="293" t="s">
        <v>383</v>
      </c>
      <c r="E233" s="325">
        <v>1</v>
      </c>
      <c r="F233" s="816">
        <v>1.17</v>
      </c>
      <c r="G233" s="296">
        <f t="shared" si="13"/>
        <v>1.17</v>
      </c>
    </row>
    <row r="234" spans="1:9" ht="14.1" customHeight="1">
      <c r="A234" s="309" t="s">
        <v>1299</v>
      </c>
      <c r="B234" s="297" t="s">
        <v>1223</v>
      </c>
      <c r="C234" s="294" t="s">
        <v>87</v>
      </c>
      <c r="D234" s="293" t="s">
        <v>383</v>
      </c>
      <c r="E234" s="325">
        <v>1</v>
      </c>
      <c r="F234" s="816">
        <v>1.46</v>
      </c>
      <c r="G234" s="296">
        <f t="shared" si="13"/>
        <v>1.46</v>
      </c>
    </row>
    <row r="235" spans="1:9" ht="20.399999999999999">
      <c r="A235" s="309">
        <v>95372</v>
      </c>
      <c r="B235" s="297" t="s">
        <v>1435</v>
      </c>
      <c r="C235" s="294" t="s">
        <v>104</v>
      </c>
      <c r="D235" s="293" t="s">
        <v>383</v>
      </c>
      <c r="E235" s="325">
        <v>1</v>
      </c>
      <c r="F235" s="816">
        <v>0.15</v>
      </c>
      <c r="G235" s="296">
        <f t="shared" si="13"/>
        <v>0.15</v>
      </c>
    </row>
    <row r="236" spans="1:9" ht="14.1" customHeight="1">
      <c r="C236" s="122"/>
      <c r="D236" s="328"/>
      <c r="E236" s="300"/>
      <c r="F236" s="301" t="s">
        <v>90</v>
      </c>
      <c r="G236" s="312">
        <f>G228+G235</f>
        <v>14.96</v>
      </c>
    </row>
    <row r="237" spans="1:9" ht="14.1" customHeight="1">
      <c r="C237" s="122"/>
      <c r="E237" s="300"/>
      <c r="F237" s="301" t="s">
        <v>92</v>
      </c>
      <c r="G237" s="312">
        <f>SUM(G229:G234)</f>
        <v>5.96</v>
      </c>
    </row>
    <row r="238" spans="1:9" ht="14.1" customHeight="1">
      <c r="A238" s="302"/>
      <c r="C238" s="122"/>
      <c r="E238" s="300"/>
      <c r="F238" s="301" t="s">
        <v>93</v>
      </c>
      <c r="G238" s="820">
        <f>SUM(G236:G237)</f>
        <v>20.92</v>
      </c>
      <c r="H238" s="304"/>
    </row>
    <row r="239" spans="1:9">
      <c r="A239" s="305"/>
      <c r="B239" s="366"/>
      <c r="C239" s="308"/>
      <c r="D239" s="305"/>
      <c r="E239" s="306"/>
      <c r="F239" s="306"/>
      <c r="G239" s="306"/>
      <c r="H239" s="305"/>
      <c r="I239" s="305"/>
    </row>
    <row r="241" spans="1:9">
      <c r="A241" s="826" t="s">
        <v>2710</v>
      </c>
      <c r="C241" s="124"/>
      <c r="D241" s="122"/>
      <c r="E241" s="128"/>
      <c r="H241" s="122"/>
    </row>
    <row r="242" spans="1:9">
      <c r="A242" s="122" t="s">
        <v>33</v>
      </c>
      <c r="B242" s="819" t="s">
        <v>2795</v>
      </c>
      <c r="C242" s="124"/>
      <c r="D242" s="122"/>
      <c r="E242" s="128"/>
      <c r="H242" s="122"/>
    </row>
    <row r="243" spans="1:9">
      <c r="A243" s="122" t="s">
        <v>76</v>
      </c>
      <c r="B243" s="1289" t="s">
        <v>279</v>
      </c>
      <c r="C243" s="1289"/>
      <c r="D243" s="1289"/>
      <c r="E243" s="353" t="s">
        <v>383</v>
      </c>
      <c r="F243" s="353"/>
      <c r="H243" s="122"/>
    </row>
    <row r="244" spans="1:9" ht="20.399999999999999">
      <c r="A244" s="361" t="s">
        <v>30</v>
      </c>
      <c r="B244" s="297" t="s">
        <v>19</v>
      </c>
      <c r="C244" s="293" t="s">
        <v>81</v>
      </c>
      <c r="D244" s="293" t="s">
        <v>77</v>
      </c>
      <c r="E244" s="294" t="s">
        <v>82</v>
      </c>
      <c r="F244" s="295" t="s">
        <v>83</v>
      </c>
      <c r="G244" s="324" t="s">
        <v>84</v>
      </c>
    </row>
    <row r="245" spans="1:9" ht="14.1" customHeight="1">
      <c r="A245" s="309">
        <v>4783</v>
      </c>
      <c r="B245" s="297" t="s">
        <v>1483</v>
      </c>
      <c r="C245" s="294" t="s">
        <v>104</v>
      </c>
      <c r="D245" s="293" t="s">
        <v>383</v>
      </c>
      <c r="E245" s="325">
        <v>1</v>
      </c>
      <c r="F245" s="815">
        <v>15.32</v>
      </c>
      <c r="G245" s="312">
        <f t="shared" ref="G245:G252" si="14">TRUNC(E245*F245,2)</f>
        <v>15.32</v>
      </c>
    </row>
    <row r="246" spans="1:9" ht="20.399999999999999">
      <c r="A246" s="309" t="s">
        <v>1290</v>
      </c>
      <c r="B246" s="297" t="s">
        <v>1291</v>
      </c>
      <c r="C246" s="294" t="s">
        <v>1292</v>
      </c>
      <c r="D246" s="293" t="s">
        <v>383</v>
      </c>
      <c r="E246" s="325">
        <v>1</v>
      </c>
      <c r="F246" s="816">
        <v>2.2000000000000002</v>
      </c>
      <c r="G246" s="296">
        <f t="shared" si="14"/>
        <v>2.2000000000000002</v>
      </c>
    </row>
    <row r="247" spans="1:9" ht="20.399999999999999">
      <c r="A247" s="309" t="s">
        <v>1293</v>
      </c>
      <c r="B247" s="297" t="s">
        <v>1294</v>
      </c>
      <c r="C247" s="294" t="s">
        <v>1292</v>
      </c>
      <c r="D247" s="293" t="s">
        <v>383</v>
      </c>
      <c r="E247" s="325">
        <v>1</v>
      </c>
      <c r="F247" s="816">
        <v>0.71</v>
      </c>
      <c r="G247" s="312">
        <f t="shared" si="14"/>
        <v>0.71</v>
      </c>
    </row>
    <row r="248" spans="1:9" ht="20.399999999999999">
      <c r="A248" s="309" t="s">
        <v>1295</v>
      </c>
      <c r="B248" s="297" t="s">
        <v>1296</v>
      </c>
      <c r="C248" s="294" t="s">
        <v>1292</v>
      </c>
      <c r="D248" s="293" t="s">
        <v>383</v>
      </c>
      <c r="E248" s="325">
        <v>1</v>
      </c>
      <c r="F248" s="816">
        <v>0.35</v>
      </c>
      <c r="G248" s="296">
        <f t="shared" si="14"/>
        <v>0.35</v>
      </c>
    </row>
    <row r="249" spans="1:9" ht="20.399999999999999">
      <c r="A249" s="309" t="s">
        <v>1297</v>
      </c>
      <c r="B249" s="297" t="s">
        <v>1298</v>
      </c>
      <c r="C249" s="294" t="s">
        <v>1292</v>
      </c>
      <c r="D249" s="293" t="s">
        <v>383</v>
      </c>
      <c r="E249" s="325">
        <v>1</v>
      </c>
      <c r="F249" s="816">
        <v>7.0000000000000007E-2</v>
      </c>
      <c r="G249" s="296">
        <f t="shared" si="14"/>
        <v>7.0000000000000007E-2</v>
      </c>
    </row>
    <row r="250" spans="1:9">
      <c r="A250" s="309" t="s">
        <v>1467</v>
      </c>
      <c r="B250" s="297" t="s">
        <v>1197</v>
      </c>
      <c r="C250" s="294" t="s">
        <v>87</v>
      </c>
      <c r="D250" s="293" t="s">
        <v>383</v>
      </c>
      <c r="E250" s="325">
        <v>1</v>
      </c>
      <c r="F250" s="816">
        <v>0.55000000000000004</v>
      </c>
      <c r="G250" s="296">
        <f t="shared" si="14"/>
        <v>0.55000000000000004</v>
      </c>
    </row>
    <row r="251" spans="1:9" ht="14.1" customHeight="1">
      <c r="A251" s="309" t="s">
        <v>1299</v>
      </c>
      <c r="B251" s="297" t="s">
        <v>1223</v>
      </c>
      <c r="C251" s="294" t="s">
        <v>87</v>
      </c>
      <c r="D251" s="293" t="s">
        <v>383</v>
      </c>
      <c r="E251" s="325">
        <v>1</v>
      </c>
      <c r="F251" s="816">
        <v>0.93</v>
      </c>
      <c r="G251" s="296">
        <f t="shared" si="14"/>
        <v>0.93</v>
      </c>
    </row>
    <row r="252" spans="1:9" ht="20.399999999999999">
      <c r="A252" s="309">
        <v>95332</v>
      </c>
      <c r="B252" s="297" t="s">
        <v>1441</v>
      </c>
      <c r="C252" s="294" t="s">
        <v>104</v>
      </c>
      <c r="D252" s="293" t="s">
        <v>383</v>
      </c>
      <c r="E252" s="325">
        <v>1</v>
      </c>
      <c r="F252" s="816">
        <v>0.39</v>
      </c>
      <c r="G252" s="296">
        <f t="shared" si="14"/>
        <v>0.39</v>
      </c>
    </row>
    <row r="253" spans="1:9" ht="14.1" customHeight="1">
      <c r="C253" s="122"/>
      <c r="D253" s="328"/>
      <c r="E253" s="300"/>
      <c r="F253" s="301" t="s">
        <v>90</v>
      </c>
      <c r="G253" s="312">
        <f>G245+G252</f>
        <v>15.71</v>
      </c>
    </row>
    <row r="254" spans="1:9" ht="14.1" customHeight="1">
      <c r="C254" s="122"/>
      <c r="E254" s="300"/>
      <c r="F254" s="301" t="s">
        <v>92</v>
      </c>
      <c r="G254" s="312">
        <f>SUM(G246:G251)</f>
        <v>4.8099999999999996</v>
      </c>
    </row>
    <row r="255" spans="1:9" ht="14.1" customHeight="1">
      <c r="A255" s="302"/>
      <c r="C255" s="122"/>
      <c r="E255" s="300"/>
      <c r="F255" s="301" t="s">
        <v>93</v>
      </c>
      <c r="G255" s="820">
        <f>SUM(G253:G254)</f>
        <v>20.52</v>
      </c>
      <c r="H255" s="304"/>
    </row>
    <row r="256" spans="1:9">
      <c r="A256" s="305"/>
      <c r="B256" s="366"/>
      <c r="C256" s="308"/>
      <c r="D256" s="305"/>
      <c r="E256" s="306"/>
      <c r="F256" s="306"/>
      <c r="G256" s="306"/>
      <c r="H256" s="305"/>
      <c r="I256" s="305"/>
    </row>
    <row r="258" spans="1:8">
      <c r="A258" s="122" t="s">
        <v>1287</v>
      </c>
      <c r="C258" s="124"/>
      <c r="D258" s="122"/>
      <c r="E258" s="128"/>
      <c r="H258" s="122"/>
    </row>
    <row r="259" spans="1:8" ht="15" customHeight="1">
      <c r="A259" s="122" t="s">
        <v>33</v>
      </c>
      <c r="B259" s="819" t="s">
        <v>2708</v>
      </c>
      <c r="C259" s="124"/>
      <c r="D259" s="122"/>
      <c r="E259" s="128"/>
      <c r="H259" s="122"/>
    </row>
    <row r="260" spans="1:8" ht="15.75" customHeight="1">
      <c r="A260" s="122" t="s">
        <v>76</v>
      </c>
      <c r="B260" s="353" t="s">
        <v>2164</v>
      </c>
      <c r="C260" s="353" t="s">
        <v>383</v>
      </c>
      <c r="D260" s="353"/>
      <c r="F260" s="353"/>
      <c r="H260" s="122"/>
    </row>
    <row r="261" spans="1:8" ht="20.399999999999999">
      <c r="A261" s="361" t="s">
        <v>30</v>
      </c>
      <c r="B261" s="297" t="s">
        <v>19</v>
      </c>
      <c r="C261" s="293" t="s">
        <v>81</v>
      </c>
      <c r="D261" s="293" t="s">
        <v>77</v>
      </c>
      <c r="E261" s="294" t="s">
        <v>82</v>
      </c>
      <c r="F261" s="295" t="s">
        <v>83</v>
      </c>
      <c r="G261" s="324" t="s">
        <v>84</v>
      </c>
    </row>
    <row r="262" spans="1:8" ht="15" customHeight="1">
      <c r="A262" s="309">
        <v>7595</v>
      </c>
      <c r="B262" s="297" t="s">
        <v>2169</v>
      </c>
      <c r="C262" s="294" t="s">
        <v>104</v>
      </c>
      <c r="D262" s="293" t="s">
        <v>383</v>
      </c>
      <c r="E262" s="325">
        <v>1</v>
      </c>
      <c r="F262" s="815">
        <v>7.35</v>
      </c>
      <c r="G262" s="312">
        <f t="shared" ref="G262:G269" si="15">TRUNC(E262*F262,2)</f>
        <v>7.35</v>
      </c>
    </row>
    <row r="263" spans="1:8" ht="20.399999999999999">
      <c r="A263" s="309">
        <v>37370</v>
      </c>
      <c r="B263" s="297" t="s">
        <v>1291</v>
      </c>
      <c r="C263" s="294" t="s">
        <v>1292</v>
      </c>
      <c r="D263" s="293" t="s">
        <v>383</v>
      </c>
      <c r="E263" s="325">
        <v>1</v>
      </c>
      <c r="F263" s="816">
        <v>2.2000000000000002</v>
      </c>
      <c r="G263" s="296">
        <f t="shared" si="15"/>
        <v>2.2000000000000002</v>
      </c>
    </row>
    <row r="264" spans="1:8" ht="20.399999999999999">
      <c r="A264" s="309" t="s">
        <v>1293</v>
      </c>
      <c r="B264" s="297" t="s">
        <v>1294</v>
      </c>
      <c r="C264" s="294" t="s">
        <v>1292</v>
      </c>
      <c r="D264" s="293" t="s">
        <v>383</v>
      </c>
      <c r="E264" s="325">
        <v>1</v>
      </c>
      <c r="F264" s="816">
        <v>0.71</v>
      </c>
      <c r="G264" s="312">
        <f t="shared" si="15"/>
        <v>0.71</v>
      </c>
    </row>
    <row r="265" spans="1:8" ht="20.399999999999999">
      <c r="A265" s="309" t="s">
        <v>1295</v>
      </c>
      <c r="B265" s="297" t="s">
        <v>1296</v>
      </c>
      <c r="C265" s="294" t="s">
        <v>1292</v>
      </c>
      <c r="D265" s="293" t="s">
        <v>383</v>
      </c>
      <c r="E265" s="325">
        <v>1</v>
      </c>
      <c r="F265" s="816">
        <v>0.35</v>
      </c>
      <c r="G265" s="296">
        <f t="shared" si="15"/>
        <v>0.35</v>
      </c>
    </row>
    <row r="266" spans="1:8" ht="20.399999999999999">
      <c r="A266" s="309" t="s">
        <v>1297</v>
      </c>
      <c r="B266" s="297" t="s">
        <v>1298</v>
      </c>
      <c r="C266" s="294" t="s">
        <v>1292</v>
      </c>
      <c r="D266" s="293" t="s">
        <v>383</v>
      </c>
      <c r="E266" s="325">
        <v>1</v>
      </c>
      <c r="F266" s="816">
        <v>7.0000000000000007E-2</v>
      </c>
      <c r="G266" s="296">
        <f t="shared" si="15"/>
        <v>7.0000000000000007E-2</v>
      </c>
    </row>
    <row r="267" spans="1:8">
      <c r="A267" s="309" t="s">
        <v>1467</v>
      </c>
      <c r="B267" s="297" t="s">
        <v>1197</v>
      </c>
      <c r="C267" s="294" t="s">
        <v>87</v>
      </c>
      <c r="D267" s="293" t="s">
        <v>383</v>
      </c>
      <c r="E267" s="325">
        <v>1</v>
      </c>
      <c r="F267" s="816">
        <v>0.05</v>
      </c>
      <c r="G267" s="296">
        <f t="shared" si="15"/>
        <v>0.05</v>
      </c>
    </row>
    <row r="268" spans="1:8" ht="15" customHeight="1">
      <c r="A268" s="309" t="s">
        <v>1299</v>
      </c>
      <c r="B268" s="297" t="s">
        <v>1223</v>
      </c>
      <c r="C268" s="294" t="s">
        <v>87</v>
      </c>
      <c r="D268" s="293" t="s">
        <v>383</v>
      </c>
      <c r="E268" s="325">
        <v>1</v>
      </c>
      <c r="F268" s="816">
        <v>0.54</v>
      </c>
      <c r="G268" s="296">
        <f t="shared" si="15"/>
        <v>0.54</v>
      </c>
    </row>
    <row r="269" spans="1:8" ht="20.399999999999999">
      <c r="A269" s="309">
        <v>95352</v>
      </c>
      <c r="B269" s="297" t="s">
        <v>2170</v>
      </c>
      <c r="C269" s="294" t="s">
        <v>104</v>
      </c>
      <c r="D269" s="293" t="s">
        <v>383</v>
      </c>
      <c r="E269" s="325">
        <v>1</v>
      </c>
      <c r="F269" s="816">
        <v>0.04</v>
      </c>
      <c r="G269" s="296">
        <f t="shared" si="15"/>
        <v>0.04</v>
      </c>
    </row>
    <row r="270" spans="1:8" ht="15" customHeight="1">
      <c r="C270" s="122"/>
      <c r="D270" s="328"/>
      <c r="E270" s="300"/>
      <c r="F270" s="301" t="s">
        <v>90</v>
      </c>
      <c r="G270" s="312">
        <f>G262+G269</f>
        <v>7.39</v>
      </c>
    </row>
    <row r="271" spans="1:8" ht="15" customHeight="1">
      <c r="C271" s="122"/>
      <c r="E271" s="300"/>
      <c r="F271" s="301" t="s">
        <v>92</v>
      </c>
      <c r="G271" s="312">
        <f>SUM(G263:G268)</f>
        <v>3.92</v>
      </c>
    </row>
    <row r="272" spans="1:8" ht="15" customHeight="1">
      <c r="A272" s="302"/>
      <c r="C272" s="122"/>
      <c r="E272" s="300"/>
      <c r="F272" s="301" t="s">
        <v>93</v>
      </c>
      <c r="G272" s="820">
        <f>SUM(G270:G271)</f>
        <v>11.309999999999999</v>
      </c>
      <c r="H272" s="304"/>
    </row>
    <row r="273" spans="1:8">
      <c r="A273" s="305"/>
      <c r="B273" s="366"/>
      <c r="C273" s="308"/>
      <c r="D273" s="305"/>
      <c r="E273" s="306"/>
      <c r="F273" s="306"/>
      <c r="G273" s="306"/>
      <c r="H273" s="305"/>
    </row>
    <row r="275" spans="1:8">
      <c r="A275" s="826" t="s">
        <v>2710</v>
      </c>
      <c r="C275" s="124"/>
      <c r="D275" s="122"/>
      <c r="E275" s="128"/>
      <c r="H275" s="122"/>
    </row>
    <row r="276" spans="1:8">
      <c r="A276" s="122" t="s">
        <v>33</v>
      </c>
      <c r="B276" s="149" t="s">
        <v>2794</v>
      </c>
      <c r="C276" s="124"/>
      <c r="D276" s="122"/>
      <c r="E276" s="128"/>
      <c r="H276" s="122"/>
    </row>
    <row r="277" spans="1:8">
      <c r="A277" s="122" t="s">
        <v>76</v>
      </c>
      <c r="B277" s="1289" t="s">
        <v>1038</v>
      </c>
      <c r="C277" s="1289"/>
      <c r="D277" s="1289"/>
      <c r="E277" s="353" t="s">
        <v>383</v>
      </c>
      <c r="F277" s="353"/>
      <c r="H277" s="122"/>
    </row>
    <row r="278" spans="1:8" ht="20.399999999999999">
      <c r="A278" s="361" t="s">
        <v>30</v>
      </c>
      <c r="B278" s="297" t="s">
        <v>19</v>
      </c>
      <c r="C278" s="293" t="s">
        <v>81</v>
      </c>
      <c r="D278" s="293" t="s">
        <v>77</v>
      </c>
      <c r="E278" s="294" t="s">
        <v>82</v>
      </c>
      <c r="F278" s="295" t="s">
        <v>83</v>
      </c>
      <c r="G278" s="324" t="s">
        <v>84</v>
      </c>
    </row>
    <row r="279" spans="1:8" ht="14.1" customHeight="1">
      <c r="A279" s="309">
        <v>247</v>
      </c>
      <c r="B279" s="297" t="s">
        <v>1484</v>
      </c>
      <c r="C279" s="294" t="s">
        <v>104</v>
      </c>
      <c r="D279" s="293" t="s">
        <v>383</v>
      </c>
      <c r="E279" s="325">
        <v>1</v>
      </c>
      <c r="F279" s="815">
        <v>10.66</v>
      </c>
      <c r="G279" s="312">
        <f t="shared" ref="G279:G286" si="16">TRUNC(E279*F279,2)</f>
        <v>10.66</v>
      </c>
    </row>
    <row r="280" spans="1:8" ht="20.399999999999999">
      <c r="A280" s="309" t="s">
        <v>1290</v>
      </c>
      <c r="B280" s="297" t="s">
        <v>1291</v>
      </c>
      <c r="C280" s="294" t="s">
        <v>1292</v>
      </c>
      <c r="D280" s="293" t="s">
        <v>383</v>
      </c>
      <c r="E280" s="325">
        <v>1</v>
      </c>
      <c r="F280" s="816">
        <v>2.2000000000000002</v>
      </c>
      <c r="G280" s="296">
        <f t="shared" si="16"/>
        <v>2.2000000000000002</v>
      </c>
    </row>
    <row r="281" spans="1:8" ht="20.399999999999999">
      <c r="A281" s="309" t="s">
        <v>1293</v>
      </c>
      <c r="B281" s="297" t="s">
        <v>1294</v>
      </c>
      <c r="C281" s="294" t="s">
        <v>1292</v>
      </c>
      <c r="D281" s="293" t="s">
        <v>383</v>
      </c>
      <c r="E281" s="325">
        <v>1</v>
      </c>
      <c r="F281" s="816">
        <v>0.71</v>
      </c>
      <c r="G281" s="312">
        <f t="shared" si="16"/>
        <v>0.71</v>
      </c>
    </row>
    <row r="282" spans="1:8" ht="20.399999999999999">
      <c r="A282" s="309" t="s">
        <v>1295</v>
      </c>
      <c r="B282" s="297" t="s">
        <v>1296</v>
      </c>
      <c r="C282" s="294" t="s">
        <v>1292</v>
      </c>
      <c r="D282" s="293" t="s">
        <v>383</v>
      </c>
      <c r="E282" s="325">
        <v>1</v>
      </c>
      <c r="F282" s="816">
        <v>0.35</v>
      </c>
      <c r="G282" s="296">
        <f t="shared" si="16"/>
        <v>0.35</v>
      </c>
    </row>
    <row r="283" spans="1:8" ht="20.399999999999999">
      <c r="A283" s="309" t="s">
        <v>1297</v>
      </c>
      <c r="B283" s="297" t="s">
        <v>1298</v>
      </c>
      <c r="C283" s="294" t="s">
        <v>1292</v>
      </c>
      <c r="D283" s="293" t="s">
        <v>383</v>
      </c>
      <c r="E283" s="325">
        <v>1</v>
      </c>
      <c r="F283" s="816">
        <v>7.0000000000000007E-2</v>
      </c>
      <c r="G283" s="296">
        <f t="shared" si="16"/>
        <v>7.0000000000000007E-2</v>
      </c>
    </row>
    <row r="284" spans="1:8">
      <c r="A284" s="309" t="s">
        <v>1467</v>
      </c>
      <c r="B284" s="297" t="s">
        <v>1197</v>
      </c>
      <c r="C284" s="294" t="s">
        <v>87</v>
      </c>
      <c r="D284" s="293" t="s">
        <v>383</v>
      </c>
      <c r="E284" s="325">
        <v>1</v>
      </c>
      <c r="F284" s="816">
        <v>0.44</v>
      </c>
      <c r="G284" s="296">
        <f t="shared" si="16"/>
        <v>0.44</v>
      </c>
    </row>
    <row r="285" spans="1:8" ht="14.1" customHeight="1">
      <c r="A285" s="309" t="s">
        <v>1299</v>
      </c>
      <c r="B285" s="297" t="s">
        <v>1223</v>
      </c>
      <c r="C285" s="294" t="s">
        <v>87</v>
      </c>
      <c r="D285" s="293" t="s">
        <v>383</v>
      </c>
      <c r="E285" s="325">
        <v>1</v>
      </c>
      <c r="F285" s="816">
        <v>0.98</v>
      </c>
      <c r="G285" s="296">
        <f t="shared" si="16"/>
        <v>0.98</v>
      </c>
    </row>
    <row r="286" spans="1:8" ht="20.399999999999999">
      <c r="A286" s="309">
        <v>95316</v>
      </c>
      <c r="B286" s="297" t="s">
        <v>1438</v>
      </c>
      <c r="C286" s="294" t="s">
        <v>104</v>
      </c>
      <c r="D286" s="293" t="s">
        <v>383</v>
      </c>
      <c r="E286" s="325">
        <v>1</v>
      </c>
      <c r="F286" s="816">
        <v>0.32</v>
      </c>
      <c r="G286" s="296">
        <f t="shared" si="16"/>
        <v>0.32</v>
      </c>
    </row>
    <row r="287" spans="1:8" ht="14.1" customHeight="1">
      <c r="C287" s="122"/>
      <c r="D287" s="328"/>
      <c r="E287" s="300"/>
      <c r="F287" s="301" t="s">
        <v>90</v>
      </c>
      <c r="G287" s="312">
        <f>G279+G286</f>
        <v>10.98</v>
      </c>
    </row>
    <row r="288" spans="1:8" ht="14.1" customHeight="1">
      <c r="C288" s="122"/>
      <c r="E288" s="300"/>
      <c r="F288" s="301" t="s">
        <v>92</v>
      </c>
      <c r="G288" s="312">
        <f>SUM(G280:G285)</f>
        <v>4.75</v>
      </c>
    </row>
    <row r="289" spans="1:9" ht="14.1" customHeight="1">
      <c r="A289" s="302"/>
      <c r="C289" s="122"/>
      <c r="E289" s="300"/>
      <c r="F289" s="301" t="s">
        <v>93</v>
      </c>
      <c r="G289" s="820">
        <f>SUM(G287:G288)</f>
        <v>15.73</v>
      </c>
      <c r="H289" s="304"/>
    </row>
    <row r="290" spans="1:9">
      <c r="A290" s="305"/>
      <c r="B290" s="366"/>
      <c r="C290" s="308"/>
      <c r="D290" s="305"/>
      <c r="E290" s="306"/>
      <c r="F290" s="306"/>
      <c r="G290" s="306"/>
      <c r="H290" s="305"/>
      <c r="I290" s="305"/>
    </row>
    <row r="292" spans="1:9">
      <c r="A292" s="826" t="s">
        <v>2710</v>
      </c>
      <c r="C292" s="124"/>
      <c r="D292" s="122"/>
      <c r="E292" s="128"/>
      <c r="H292" s="122"/>
    </row>
    <row r="293" spans="1:9">
      <c r="A293" s="122" t="s">
        <v>33</v>
      </c>
      <c r="B293" s="819" t="s">
        <v>2707</v>
      </c>
      <c r="C293" s="124"/>
      <c r="D293" s="122"/>
      <c r="E293" s="128"/>
      <c r="H293" s="122"/>
    </row>
    <row r="294" spans="1:9" ht="15.75" customHeight="1">
      <c r="A294" s="122" t="s">
        <v>76</v>
      </c>
      <c r="B294" s="1289" t="s">
        <v>2163</v>
      </c>
      <c r="C294" s="1289"/>
      <c r="D294" s="1289"/>
      <c r="E294" s="353" t="s">
        <v>383</v>
      </c>
      <c r="F294" s="353"/>
      <c r="H294" s="122"/>
    </row>
    <row r="295" spans="1:9" ht="20.399999999999999">
      <c r="A295" s="361" t="s">
        <v>30</v>
      </c>
      <c r="B295" s="297" t="s">
        <v>19</v>
      </c>
      <c r="C295" s="293" t="s">
        <v>81</v>
      </c>
      <c r="D295" s="293" t="s">
        <v>77</v>
      </c>
      <c r="E295" s="294" t="s">
        <v>82</v>
      </c>
      <c r="F295" s="295" t="s">
        <v>83</v>
      </c>
      <c r="G295" s="324" t="s">
        <v>84</v>
      </c>
    </row>
    <row r="296" spans="1:9" ht="15" customHeight="1">
      <c r="A296" s="309">
        <v>244</v>
      </c>
      <c r="B296" s="297" t="s">
        <v>2165</v>
      </c>
      <c r="C296" s="294" t="s">
        <v>104</v>
      </c>
      <c r="D296" s="293" t="s">
        <v>383</v>
      </c>
      <c r="E296" s="325">
        <v>1</v>
      </c>
      <c r="F296" s="815">
        <v>5.84</v>
      </c>
      <c r="G296" s="312">
        <f t="shared" ref="G296:G303" si="17">TRUNC(E296*F296,2)</f>
        <v>5.84</v>
      </c>
    </row>
    <row r="297" spans="1:9" ht="20.399999999999999">
      <c r="A297" s="309">
        <v>37370</v>
      </c>
      <c r="B297" s="297" t="s">
        <v>1291</v>
      </c>
      <c r="C297" s="294" t="s">
        <v>1292</v>
      </c>
      <c r="D297" s="293" t="s">
        <v>383</v>
      </c>
      <c r="E297" s="325">
        <v>1</v>
      </c>
      <c r="F297" s="816">
        <v>2.2000000000000002</v>
      </c>
      <c r="G297" s="296">
        <f t="shared" si="17"/>
        <v>2.2000000000000002</v>
      </c>
    </row>
    <row r="298" spans="1:9" ht="20.399999999999999">
      <c r="A298" s="309">
        <v>37371</v>
      </c>
      <c r="B298" s="297" t="s">
        <v>1294</v>
      </c>
      <c r="C298" s="294" t="s">
        <v>1292</v>
      </c>
      <c r="D298" s="293" t="s">
        <v>383</v>
      </c>
      <c r="E298" s="325">
        <v>1</v>
      </c>
      <c r="F298" s="816">
        <v>0.71</v>
      </c>
      <c r="G298" s="312">
        <f t="shared" si="17"/>
        <v>0.71</v>
      </c>
    </row>
    <row r="299" spans="1:9" ht="20.399999999999999">
      <c r="A299" s="309">
        <v>37372</v>
      </c>
      <c r="B299" s="297" t="s">
        <v>1296</v>
      </c>
      <c r="C299" s="294" t="s">
        <v>1292</v>
      </c>
      <c r="D299" s="293" t="s">
        <v>383</v>
      </c>
      <c r="E299" s="325">
        <v>1</v>
      </c>
      <c r="F299" s="816">
        <v>0.35</v>
      </c>
      <c r="G299" s="296">
        <f t="shared" si="17"/>
        <v>0.35</v>
      </c>
    </row>
    <row r="300" spans="1:9" ht="20.399999999999999">
      <c r="A300" s="309">
        <v>37373</v>
      </c>
      <c r="B300" s="297" t="s">
        <v>1298</v>
      </c>
      <c r="C300" s="294" t="s">
        <v>1292</v>
      </c>
      <c r="D300" s="293" t="s">
        <v>383</v>
      </c>
      <c r="E300" s="325">
        <v>1</v>
      </c>
      <c r="F300" s="816">
        <v>7.0000000000000007E-2</v>
      </c>
      <c r="G300" s="296">
        <f t="shared" si="17"/>
        <v>7.0000000000000007E-2</v>
      </c>
    </row>
    <row r="301" spans="1:9" ht="20.399999999999999">
      <c r="A301" s="818">
        <v>43469</v>
      </c>
      <c r="B301" s="817" t="s">
        <v>2705</v>
      </c>
      <c r="C301" s="294" t="s">
        <v>87</v>
      </c>
      <c r="D301" s="293" t="s">
        <v>383</v>
      </c>
      <c r="E301" s="325">
        <v>1</v>
      </c>
      <c r="F301" s="816">
        <v>0.05</v>
      </c>
      <c r="G301" s="296">
        <f t="shared" si="17"/>
        <v>0.05</v>
      </c>
    </row>
    <row r="302" spans="1:9" ht="18.75" customHeight="1">
      <c r="A302" s="818">
        <v>43493</v>
      </c>
      <c r="B302" s="817" t="s">
        <v>2706</v>
      </c>
      <c r="C302" s="294" t="s">
        <v>87</v>
      </c>
      <c r="D302" s="293" t="s">
        <v>383</v>
      </c>
      <c r="E302" s="325">
        <v>1</v>
      </c>
      <c r="F302" s="816">
        <v>0.54</v>
      </c>
      <c r="G302" s="296">
        <f t="shared" si="17"/>
        <v>0.54</v>
      </c>
    </row>
    <row r="303" spans="1:9" ht="20.399999999999999">
      <c r="A303" s="309">
        <v>95316</v>
      </c>
      <c r="B303" s="297" t="s">
        <v>2166</v>
      </c>
      <c r="C303" s="294" t="s">
        <v>104</v>
      </c>
      <c r="D303" s="293" t="s">
        <v>383</v>
      </c>
      <c r="E303" s="325">
        <v>1</v>
      </c>
      <c r="F303" s="816">
        <v>0.27</v>
      </c>
      <c r="G303" s="296">
        <f t="shared" si="17"/>
        <v>0.27</v>
      </c>
    </row>
    <row r="304" spans="1:9" ht="15" customHeight="1">
      <c r="C304" s="122"/>
      <c r="D304" s="328"/>
      <c r="E304" s="300"/>
      <c r="F304" s="301" t="s">
        <v>90</v>
      </c>
      <c r="G304" s="312">
        <f>G296+G303</f>
        <v>6.1099999999999994</v>
      </c>
    </row>
    <row r="305" spans="1:8" ht="15" customHeight="1">
      <c r="C305" s="122"/>
      <c r="E305" s="300"/>
      <c r="F305" s="301" t="s">
        <v>92</v>
      </c>
      <c r="G305" s="312">
        <f>SUM(G297:G302)</f>
        <v>3.92</v>
      </c>
    </row>
    <row r="306" spans="1:8" ht="15" customHeight="1">
      <c r="A306" s="302"/>
      <c r="C306" s="122"/>
      <c r="E306" s="300"/>
      <c r="F306" s="301" t="s">
        <v>93</v>
      </c>
      <c r="G306" s="820">
        <f>SUM(G304:G305)</f>
        <v>10.029999999999999</v>
      </c>
      <c r="H306" s="304"/>
    </row>
    <row r="307" spans="1:8">
      <c r="A307" s="305"/>
      <c r="B307" s="366"/>
      <c r="C307" s="308"/>
      <c r="D307" s="305"/>
      <c r="E307" s="306"/>
      <c r="F307" s="306"/>
      <c r="G307" s="306"/>
      <c r="H307" s="305"/>
    </row>
    <row r="309" spans="1:8">
      <c r="A309" s="826" t="s">
        <v>2710</v>
      </c>
      <c r="C309" s="124"/>
      <c r="D309" s="122"/>
      <c r="E309" s="128"/>
      <c r="H309" s="122"/>
    </row>
    <row r="310" spans="1:8" ht="13.5" customHeight="1">
      <c r="A310" s="122" t="s">
        <v>33</v>
      </c>
      <c r="B310" s="149" t="s">
        <v>1485</v>
      </c>
      <c r="C310" s="124"/>
      <c r="D310" s="122"/>
      <c r="E310" s="128"/>
      <c r="H310" s="122"/>
    </row>
    <row r="311" spans="1:8" ht="29.25" customHeight="1">
      <c r="A311" s="122" t="s">
        <v>76</v>
      </c>
      <c r="B311" s="1289" t="s">
        <v>307</v>
      </c>
      <c r="C311" s="1289"/>
      <c r="D311" s="1289"/>
      <c r="E311" s="353" t="s">
        <v>383</v>
      </c>
      <c r="F311" s="353"/>
      <c r="H311" s="122"/>
    </row>
    <row r="312" spans="1:8" ht="20.399999999999999">
      <c r="A312" s="361" t="s">
        <v>30</v>
      </c>
      <c r="B312" s="297" t="s">
        <v>19</v>
      </c>
      <c r="C312" s="293" t="s">
        <v>81</v>
      </c>
      <c r="D312" s="293" t="s">
        <v>77</v>
      </c>
      <c r="E312" s="294" t="s">
        <v>82</v>
      </c>
      <c r="F312" s="295" t="s">
        <v>83</v>
      </c>
      <c r="G312" s="324" t="s">
        <v>84</v>
      </c>
    </row>
    <row r="313" spans="1:8" ht="14.1" customHeight="1">
      <c r="A313" s="309">
        <v>246</v>
      </c>
      <c r="B313" s="297" t="s">
        <v>1445</v>
      </c>
      <c r="C313" s="294" t="s">
        <v>104</v>
      </c>
      <c r="D313" s="293" t="s">
        <v>383</v>
      </c>
      <c r="E313" s="325">
        <v>1</v>
      </c>
      <c r="F313" s="815">
        <v>10.85</v>
      </c>
      <c r="G313" s="312">
        <f t="shared" ref="G313:G319" si="18">TRUNC(E313*F313,2)</f>
        <v>10.85</v>
      </c>
    </row>
    <row r="314" spans="1:8" ht="20.399999999999999">
      <c r="A314" s="309" t="s">
        <v>1290</v>
      </c>
      <c r="B314" s="297" t="s">
        <v>1291</v>
      </c>
      <c r="C314" s="294" t="s">
        <v>1292</v>
      </c>
      <c r="D314" s="293" t="s">
        <v>383</v>
      </c>
      <c r="E314" s="325">
        <v>1</v>
      </c>
      <c r="F314" s="816">
        <v>2.2000000000000002</v>
      </c>
      <c r="G314" s="296">
        <f t="shared" si="18"/>
        <v>2.2000000000000002</v>
      </c>
    </row>
    <row r="315" spans="1:8" ht="20.399999999999999">
      <c r="A315" s="309" t="s">
        <v>1293</v>
      </c>
      <c r="B315" s="297" t="s">
        <v>1294</v>
      </c>
      <c r="C315" s="294" t="s">
        <v>1292</v>
      </c>
      <c r="D315" s="293" t="s">
        <v>383</v>
      </c>
      <c r="E315" s="325">
        <v>1</v>
      </c>
      <c r="F315" s="816">
        <v>0.71</v>
      </c>
      <c r="G315" s="312">
        <f t="shared" si="18"/>
        <v>0.71</v>
      </c>
    </row>
    <row r="316" spans="1:8" ht="20.399999999999999">
      <c r="A316" s="309" t="s">
        <v>1295</v>
      </c>
      <c r="B316" s="297" t="s">
        <v>1296</v>
      </c>
      <c r="C316" s="294" t="s">
        <v>1292</v>
      </c>
      <c r="D316" s="293" t="s">
        <v>383</v>
      </c>
      <c r="E316" s="325">
        <v>1</v>
      </c>
      <c r="F316" s="816">
        <v>0.35</v>
      </c>
      <c r="G316" s="296">
        <f t="shared" si="18"/>
        <v>0.35</v>
      </c>
    </row>
    <row r="317" spans="1:8" ht="20.399999999999999">
      <c r="A317" s="309" t="s">
        <v>1297</v>
      </c>
      <c r="B317" s="297" t="s">
        <v>1298</v>
      </c>
      <c r="C317" s="294" t="s">
        <v>1292</v>
      </c>
      <c r="D317" s="293" t="s">
        <v>383</v>
      </c>
      <c r="E317" s="325">
        <v>1</v>
      </c>
      <c r="F317" s="816">
        <v>7.0000000000000007E-2</v>
      </c>
      <c r="G317" s="296">
        <f t="shared" si="18"/>
        <v>7.0000000000000007E-2</v>
      </c>
    </row>
    <row r="318" spans="1:8">
      <c r="A318" s="309" t="s">
        <v>1467</v>
      </c>
      <c r="B318" s="297" t="s">
        <v>1197</v>
      </c>
      <c r="C318" s="294" t="s">
        <v>87</v>
      </c>
      <c r="D318" s="293" t="s">
        <v>383</v>
      </c>
      <c r="E318" s="325">
        <v>1</v>
      </c>
      <c r="F318" s="816">
        <v>0.24</v>
      </c>
      <c r="G318" s="296">
        <f t="shared" si="18"/>
        <v>0.24</v>
      </c>
    </row>
    <row r="319" spans="1:8" ht="14.1" customHeight="1">
      <c r="A319" s="309" t="s">
        <v>1299</v>
      </c>
      <c r="B319" s="297" t="s">
        <v>1223</v>
      </c>
      <c r="C319" s="294" t="s">
        <v>87</v>
      </c>
      <c r="D319" s="293" t="s">
        <v>383</v>
      </c>
      <c r="E319" s="325">
        <v>1</v>
      </c>
      <c r="F319" s="816">
        <v>0.83</v>
      </c>
      <c r="G319" s="296">
        <f t="shared" si="18"/>
        <v>0.83</v>
      </c>
    </row>
    <row r="320" spans="1:8" ht="30.6">
      <c r="A320" s="309">
        <v>95317</v>
      </c>
      <c r="B320" s="297" t="s">
        <v>1444</v>
      </c>
      <c r="C320" s="294" t="s">
        <v>104</v>
      </c>
      <c r="D320" s="293" t="s">
        <v>383</v>
      </c>
      <c r="E320" s="325">
        <v>1</v>
      </c>
      <c r="F320" s="816">
        <v>0.13</v>
      </c>
      <c r="G320" s="296">
        <v>0.13</v>
      </c>
    </row>
    <row r="321" spans="1:9" ht="14.1" customHeight="1">
      <c r="C321" s="122"/>
      <c r="D321" s="328"/>
      <c r="E321" s="300"/>
      <c r="F321" s="301" t="s">
        <v>90</v>
      </c>
      <c r="G321" s="312">
        <f>G313+G320</f>
        <v>10.98</v>
      </c>
    </row>
    <row r="322" spans="1:9" ht="14.1" customHeight="1">
      <c r="C322" s="122"/>
      <c r="E322" s="300"/>
      <c r="F322" s="301" t="s">
        <v>92</v>
      </c>
      <c r="G322" s="312">
        <f>SUM(G314:G319)</f>
        <v>4.4000000000000004</v>
      </c>
    </row>
    <row r="323" spans="1:9" ht="14.1" customHeight="1">
      <c r="A323" s="302"/>
      <c r="C323" s="122"/>
      <c r="E323" s="300"/>
      <c r="F323" s="301" t="s">
        <v>93</v>
      </c>
      <c r="G323" s="820">
        <f>SUM(G321:G322)</f>
        <v>15.38</v>
      </c>
      <c r="H323" s="304"/>
    </row>
    <row r="324" spans="1:9">
      <c r="A324" s="305"/>
      <c r="B324" s="366"/>
      <c r="C324" s="308"/>
      <c r="D324" s="305"/>
      <c r="E324" s="306"/>
      <c r="F324" s="306"/>
      <c r="G324" s="306"/>
      <c r="H324" s="305"/>
      <c r="I324" s="305"/>
    </row>
    <row r="326" spans="1:9">
      <c r="A326" s="826" t="s">
        <v>2710</v>
      </c>
      <c r="C326" s="124"/>
      <c r="D326" s="122"/>
      <c r="E326" s="128"/>
      <c r="H326" s="122"/>
    </row>
    <row r="327" spans="1:9">
      <c r="A327" s="122" t="s">
        <v>33</v>
      </c>
      <c r="B327" s="149" t="s">
        <v>1486</v>
      </c>
      <c r="C327" s="124"/>
      <c r="D327" s="122"/>
      <c r="E327" s="128"/>
      <c r="H327" s="122"/>
    </row>
    <row r="328" spans="1:9" ht="17.25" customHeight="1">
      <c r="A328" s="122" t="s">
        <v>76</v>
      </c>
      <c r="B328" s="1289" t="s">
        <v>271</v>
      </c>
      <c r="C328" s="1289"/>
      <c r="D328" s="1289"/>
      <c r="E328" s="393" t="s">
        <v>383</v>
      </c>
      <c r="F328" s="353"/>
      <c r="H328" s="122"/>
    </row>
    <row r="329" spans="1:9" ht="20.399999999999999">
      <c r="A329" s="361" t="s">
        <v>30</v>
      </c>
      <c r="B329" s="297" t="s">
        <v>19</v>
      </c>
      <c r="C329" s="293" t="s">
        <v>81</v>
      </c>
      <c r="D329" s="293" t="s">
        <v>77</v>
      </c>
      <c r="E329" s="294" t="s">
        <v>82</v>
      </c>
      <c r="F329" s="295" t="s">
        <v>83</v>
      </c>
      <c r="G329" s="324" t="s">
        <v>84</v>
      </c>
    </row>
    <row r="330" spans="1:9" ht="14.1" customHeight="1">
      <c r="A330" s="309">
        <v>2696</v>
      </c>
      <c r="B330" s="297" t="s">
        <v>1448</v>
      </c>
      <c r="C330" s="294" t="s">
        <v>104</v>
      </c>
      <c r="D330" s="293" t="s">
        <v>383</v>
      </c>
      <c r="E330" s="325">
        <v>1</v>
      </c>
      <c r="F330" s="815">
        <v>15.32</v>
      </c>
      <c r="G330" s="312">
        <f t="shared" ref="G330:G337" si="19">TRUNC(E330*F330,2)</f>
        <v>15.32</v>
      </c>
    </row>
    <row r="331" spans="1:9" ht="20.399999999999999">
      <c r="A331" s="309" t="s">
        <v>1290</v>
      </c>
      <c r="B331" s="297" t="s">
        <v>1291</v>
      </c>
      <c r="C331" s="294" t="s">
        <v>1292</v>
      </c>
      <c r="D331" s="293" t="s">
        <v>383</v>
      </c>
      <c r="E331" s="325">
        <v>1</v>
      </c>
      <c r="F331" s="816">
        <v>2.2000000000000002</v>
      </c>
      <c r="G331" s="296">
        <f t="shared" si="19"/>
        <v>2.2000000000000002</v>
      </c>
    </row>
    <row r="332" spans="1:9" ht="20.399999999999999">
      <c r="A332" s="309" t="s">
        <v>1293</v>
      </c>
      <c r="B332" s="297" t="s">
        <v>1294</v>
      </c>
      <c r="C332" s="294" t="s">
        <v>1292</v>
      </c>
      <c r="D332" s="293" t="s">
        <v>383</v>
      </c>
      <c r="E332" s="325">
        <v>1</v>
      </c>
      <c r="F332" s="816">
        <v>0.71</v>
      </c>
      <c r="G332" s="312">
        <f t="shared" si="19"/>
        <v>0.71</v>
      </c>
    </row>
    <row r="333" spans="1:9" ht="20.399999999999999">
      <c r="A333" s="309" t="s">
        <v>1295</v>
      </c>
      <c r="B333" s="297" t="s">
        <v>1296</v>
      </c>
      <c r="C333" s="294" t="s">
        <v>1292</v>
      </c>
      <c r="D333" s="293" t="s">
        <v>383</v>
      </c>
      <c r="E333" s="325">
        <v>1</v>
      </c>
      <c r="F333" s="816">
        <v>0.35</v>
      </c>
      <c r="G333" s="296">
        <f t="shared" si="19"/>
        <v>0.35</v>
      </c>
    </row>
    <row r="334" spans="1:9" ht="20.399999999999999">
      <c r="A334" s="309" t="s">
        <v>1297</v>
      </c>
      <c r="B334" s="297" t="s">
        <v>1298</v>
      </c>
      <c r="C334" s="294" t="s">
        <v>1292</v>
      </c>
      <c r="D334" s="293" t="s">
        <v>383</v>
      </c>
      <c r="E334" s="325">
        <v>1</v>
      </c>
      <c r="F334" s="816">
        <v>7.0000000000000007E-2</v>
      </c>
      <c r="G334" s="296">
        <f t="shared" si="19"/>
        <v>7.0000000000000007E-2</v>
      </c>
    </row>
    <row r="335" spans="1:9">
      <c r="A335" s="309" t="s">
        <v>1467</v>
      </c>
      <c r="B335" s="297" t="s">
        <v>1197</v>
      </c>
      <c r="C335" s="294" t="s">
        <v>87</v>
      </c>
      <c r="D335" s="293" t="s">
        <v>383</v>
      </c>
      <c r="E335" s="325">
        <v>1</v>
      </c>
      <c r="F335" s="816">
        <v>0.24</v>
      </c>
      <c r="G335" s="296">
        <f t="shared" si="19"/>
        <v>0.24</v>
      </c>
    </row>
    <row r="336" spans="1:9" ht="14.1" customHeight="1">
      <c r="A336" s="309" t="s">
        <v>1299</v>
      </c>
      <c r="B336" s="297" t="s">
        <v>1223</v>
      </c>
      <c r="C336" s="294" t="s">
        <v>87</v>
      </c>
      <c r="D336" s="293" t="s">
        <v>383</v>
      </c>
      <c r="E336" s="325">
        <v>1</v>
      </c>
      <c r="F336" s="816">
        <v>0.83</v>
      </c>
      <c r="G336" s="296">
        <f t="shared" si="19"/>
        <v>0.83</v>
      </c>
    </row>
    <row r="337" spans="1:9" ht="20.399999999999999">
      <c r="A337" s="309">
        <v>95335</v>
      </c>
      <c r="B337" s="297" t="s">
        <v>1447</v>
      </c>
      <c r="C337" s="294" t="s">
        <v>104</v>
      </c>
      <c r="D337" s="293" t="s">
        <v>383</v>
      </c>
      <c r="E337" s="325">
        <v>1</v>
      </c>
      <c r="F337" s="816">
        <v>0.18</v>
      </c>
      <c r="G337" s="296">
        <f t="shared" si="19"/>
        <v>0.18</v>
      </c>
    </row>
    <row r="338" spans="1:9" ht="14.1" customHeight="1">
      <c r="C338" s="122"/>
      <c r="D338" s="328"/>
      <c r="E338" s="300"/>
      <c r="F338" s="301" t="s">
        <v>90</v>
      </c>
      <c r="G338" s="312">
        <f>G330+G337</f>
        <v>15.5</v>
      </c>
    </row>
    <row r="339" spans="1:9" ht="14.1" customHeight="1">
      <c r="C339" s="122"/>
      <c r="E339" s="300"/>
      <c r="F339" s="301" t="s">
        <v>92</v>
      </c>
      <c r="G339" s="312">
        <f>SUM(G331:G336)</f>
        <v>4.4000000000000004</v>
      </c>
    </row>
    <row r="340" spans="1:9" ht="14.1" customHeight="1">
      <c r="A340" s="302"/>
      <c r="C340" s="122"/>
      <c r="E340" s="300"/>
      <c r="F340" s="301" t="s">
        <v>93</v>
      </c>
      <c r="G340" s="820">
        <f>SUM(G338:G339)</f>
        <v>19.899999999999999</v>
      </c>
      <c r="H340" s="304"/>
    </row>
    <row r="341" spans="1:9">
      <c r="A341" s="305"/>
      <c r="B341" s="366"/>
      <c r="C341" s="308"/>
      <c r="D341" s="305"/>
      <c r="E341" s="306"/>
      <c r="F341" s="306"/>
      <c r="G341" s="306"/>
      <c r="H341" s="305"/>
      <c r="I341" s="305"/>
    </row>
    <row r="343" spans="1:9">
      <c r="A343" s="826" t="s">
        <v>2710</v>
      </c>
      <c r="C343" s="124"/>
      <c r="D343" s="122"/>
      <c r="E343" s="128"/>
      <c r="H343" s="122"/>
    </row>
    <row r="344" spans="1:9">
      <c r="A344" s="122" t="s">
        <v>33</v>
      </c>
      <c r="B344" s="149" t="s">
        <v>1503</v>
      </c>
      <c r="C344" s="124"/>
      <c r="D344" s="122"/>
      <c r="E344" s="128"/>
      <c r="H344" s="122"/>
    </row>
    <row r="345" spans="1:9" ht="14.25" customHeight="1">
      <c r="A345" s="122" t="s">
        <v>76</v>
      </c>
      <c r="B345" s="1161" t="s">
        <v>627</v>
      </c>
      <c r="C345" s="1161"/>
      <c r="D345" s="393" t="s">
        <v>383</v>
      </c>
      <c r="F345" s="353"/>
      <c r="H345" s="122"/>
    </row>
    <row r="346" spans="1:9" ht="20.399999999999999">
      <c r="A346" s="361" t="s">
        <v>30</v>
      </c>
      <c r="B346" s="297" t="s">
        <v>19</v>
      </c>
      <c r="C346" s="293" t="s">
        <v>81</v>
      </c>
      <c r="D346" s="293" t="s">
        <v>77</v>
      </c>
      <c r="E346" s="294" t="s">
        <v>82</v>
      </c>
      <c r="F346" s="295" t="s">
        <v>83</v>
      </c>
      <c r="G346" s="324" t="s">
        <v>84</v>
      </c>
    </row>
    <row r="347" spans="1:9" ht="14.1" customHeight="1">
      <c r="A347" s="309">
        <v>4760</v>
      </c>
      <c r="B347" s="297" t="s">
        <v>1504</v>
      </c>
      <c r="C347" s="294" t="s">
        <v>104</v>
      </c>
      <c r="D347" s="293" t="s">
        <v>383</v>
      </c>
      <c r="E347" s="325">
        <v>1</v>
      </c>
      <c r="F347" s="815">
        <v>14.81</v>
      </c>
      <c r="G347" s="312">
        <f t="shared" ref="G347:G354" si="20">TRUNC(E347*F347,2)</f>
        <v>14.81</v>
      </c>
    </row>
    <row r="348" spans="1:9" ht="20.399999999999999">
      <c r="A348" s="309" t="s">
        <v>1290</v>
      </c>
      <c r="B348" s="297" t="s">
        <v>1291</v>
      </c>
      <c r="C348" s="294" t="s">
        <v>1292</v>
      </c>
      <c r="D348" s="293" t="s">
        <v>383</v>
      </c>
      <c r="E348" s="325">
        <v>1</v>
      </c>
      <c r="F348" s="816">
        <v>2.2000000000000002</v>
      </c>
      <c r="G348" s="296">
        <f t="shared" si="20"/>
        <v>2.2000000000000002</v>
      </c>
    </row>
    <row r="349" spans="1:9" ht="20.399999999999999">
      <c r="A349" s="309" t="s">
        <v>1293</v>
      </c>
      <c r="B349" s="297" t="s">
        <v>1294</v>
      </c>
      <c r="C349" s="294" t="s">
        <v>1292</v>
      </c>
      <c r="D349" s="293" t="s">
        <v>383</v>
      </c>
      <c r="E349" s="325">
        <v>1</v>
      </c>
      <c r="F349" s="816">
        <v>0.71</v>
      </c>
      <c r="G349" s="312">
        <f t="shared" si="20"/>
        <v>0.71</v>
      </c>
    </row>
    <row r="350" spans="1:9" ht="20.399999999999999">
      <c r="A350" s="309" t="s">
        <v>1295</v>
      </c>
      <c r="B350" s="297" t="s">
        <v>1296</v>
      </c>
      <c r="C350" s="294" t="s">
        <v>1292</v>
      </c>
      <c r="D350" s="293" t="s">
        <v>383</v>
      </c>
      <c r="E350" s="325">
        <v>1</v>
      </c>
      <c r="F350" s="816">
        <v>0.35</v>
      </c>
      <c r="G350" s="296">
        <f t="shared" si="20"/>
        <v>0.35</v>
      </c>
    </row>
    <row r="351" spans="1:9" ht="20.399999999999999">
      <c r="A351" s="309" t="s">
        <v>1297</v>
      </c>
      <c r="B351" s="297" t="s">
        <v>1298</v>
      </c>
      <c r="C351" s="294" t="s">
        <v>1292</v>
      </c>
      <c r="D351" s="293" t="s">
        <v>383</v>
      </c>
      <c r="E351" s="325">
        <v>1</v>
      </c>
      <c r="F351" s="816">
        <v>7.0000000000000007E-2</v>
      </c>
      <c r="G351" s="296">
        <f t="shared" si="20"/>
        <v>7.0000000000000007E-2</v>
      </c>
    </row>
    <row r="352" spans="1:9">
      <c r="A352" s="309" t="s">
        <v>1467</v>
      </c>
      <c r="B352" s="297" t="s">
        <v>1197</v>
      </c>
      <c r="C352" s="294" t="s">
        <v>87</v>
      </c>
      <c r="D352" s="293" t="s">
        <v>383</v>
      </c>
      <c r="E352" s="325">
        <v>1</v>
      </c>
      <c r="F352" s="816">
        <v>0.5</v>
      </c>
      <c r="G352" s="296">
        <f t="shared" si="20"/>
        <v>0.5</v>
      </c>
    </row>
    <row r="353" spans="1:9" ht="14.1" customHeight="1">
      <c r="A353" s="309" t="s">
        <v>1299</v>
      </c>
      <c r="B353" s="297" t="s">
        <v>1223</v>
      </c>
      <c r="C353" s="294" t="s">
        <v>87</v>
      </c>
      <c r="D353" s="293" t="s">
        <v>383</v>
      </c>
      <c r="E353" s="325">
        <v>1</v>
      </c>
      <c r="F353" s="816">
        <v>0.96</v>
      </c>
      <c r="G353" s="296">
        <f t="shared" si="20"/>
        <v>0.96</v>
      </c>
    </row>
    <row r="354" spans="1:9" ht="20.399999999999999">
      <c r="A354" s="309">
        <v>95324</v>
      </c>
      <c r="B354" s="297" t="s">
        <v>1505</v>
      </c>
      <c r="C354" s="294" t="s">
        <v>104</v>
      </c>
      <c r="D354" s="293" t="s">
        <v>383</v>
      </c>
      <c r="E354" s="325">
        <v>1</v>
      </c>
      <c r="F354" s="816">
        <v>0.15</v>
      </c>
      <c r="G354" s="296">
        <f t="shared" si="20"/>
        <v>0.15</v>
      </c>
    </row>
    <row r="355" spans="1:9" ht="14.1" customHeight="1">
      <c r="C355" s="122"/>
      <c r="D355" s="328"/>
      <c r="E355" s="300"/>
      <c r="F355" s="301" t="s">
        <v>90</v>
      </c>
      <c r="G355" s="312">
        <f>G347+G354</f>
        <v>14.96</v>
      </c>
    </row>
    <row r="356" spans="1:9" ht="14.1" customHeight="1">
      <c r="C356" s="122"/>
      <c r="E356" s="300"/>
      <c r="F356" s="301" t="s">
        <v>92</v>
      </c>
      <c r="G356" s="312">
        <f>SUM(G348:G353)</f>
        <v>4.79</v>
      </c>
    </row>
    <row r="357" spans="1:9" ht="14.1" customHeight="1">
      <c r="A357" s="302"/>
      <c r="C357" s="122"/>
      <c r="E357" s="300"/>
      <c r="F357" s="301" t="s">
        <v>93</v>
      </c>
      <c r="G357" s="820">
        <f>SUM(G355:G356)</f>
        <v>19.75</v>
      </c>
      <c r="H357" s="304"/>
    </row>
    <row r="358" spans="1:9">
      <c r="A358" s="305"/>
      <c r="B358" s="366"/>
      <c r="C358" s="308"/>
      <c r="D358" s="305"/>
      <c r="E358" s="306"/>
      <c r="F358" s="306"/>
      <c r="G358" s="306"/>
      <c r="H358" s="305"/>
      <c r="I358" s="305"/>
    </row>
    <row r="360" spans="1:9">
      <c r="A360" s="826" t="s">
        <v>2710</v>
      </c>
      <c r="C360" s="124"/>
      <c r="D360" s="122"/>
      <c r="E360" s="128"/>
      <c r="H360" s="122"/>
    </row>
    <row r="361" spans="1:9" ht="14.1" customHeight="1">
      <c r="A361" s="122" t="s">
        <v>33</v>
      </c>
      <c r="B361" s="819" t="s">
        <v>2757</v>
      </c>
      <c r="C361" s="124"/>
      <c r="D361" s="122"/>
      <c r="E361" s="128"/>
      <c r="H361" s="122"/>
    </row>
    <row r="362" spans="1:9" ht="16.5" customHeight="1">
      <c r="A362" s="122" t="s">
        <v>76</v>
      </c>
      <c r="B362" s="352" t="s">
        <v>902</v>
      </c>
      <c r="C362" s="290" t="s">
        <v>383</v>
      </c>
      <c r="D362" s="122"/>
      <c r="F362" s="353"/>
      <c r="H362" s="122"/>
    </row>
    <row r="363" spans="1:9" ht="20.399999999999999">
      <c r="A363" s="361" t="s">
        <v>30</v>
      </c>
      <c r="B363" s="297" t="s">
        <v>19</v>
      </c>
      <c r="C363" s="293" t="s">
        <v>81</v>
      </c>
      <c r="D363" s="293" t="s">
        <v>77</v>
      </c>
      <c r="E363" s="294" t="s">
        <v>82</v>
      </c>
      <c r="F363" s="295" t="s">
        <v>83</v>
      </c>
      <c r="G363" s="324" t="s">
        <v>84</v>
      </c>
    </row>
    <row r="364" spans="1:9" ht="14.1" customHeight="1">
      <c r="A364" s="309">
        <v>12869</v>
      </c>
      <c r="B364" s="297" t="s">
        <v>1430</v>
      </c>
      <c r="C364" s="294" t="s">
        <v>104</v>
      </c>
      <c r="D364" s="293" t="s">
        <v>383</v>
      </c>
      <c r="E364" s="325">
        <v>1</v>
      </c>
      <c r="F364" s="815">
        <v>16.149999999999999</v>
      </c>
      <c r="G364" s="312">
        <f t="shared" ref="G364:G371" si="21">TRUNC(E364*F364,2)</f>
        <v>16.149999999999999</v>
      </c>
    </row>
    <row r="365" spans="1:9" ht="20.399999999999999">
      <c r="A365" s="309" t="s">
        <v>1290</v>
      </c>
      <c r="B365" s="297" t="s">
        <v>1291</v>
      </c>
      <c r="C365" s="294" t="s">
        <v>1292</v>
      </c>
      <c r="D365" s="293" t="s">
        <v>383</v>
      </c>
      <c r="E365" s="325">
        <v>1</v>
      </c>
      <c r="F365" s="816">
        <v>2.2000000000000002</v>
      </c>
      <c r="G365" s="296">
        <f t="shared" si="21"/>
        <v>2.2000000000000002</v>
      </c>
    </row>
    <row r="366" spans="1:9" ht="20.399999999999999">
      <c r="A366" s="309" t="s">
        <v>1293</v>
      </c>
      <c r="B366" s="297" t="s">
        <v>1294</v>
      </c>
      <c r="C366" s="294" t="s">
        <v>1292</v>
      </c>
      <c r="D366" s="293" t="s">
        <v>383</v>
      </c>
      <c r="E366" s="325">
        <v>1</v>
      </c>
      <c r="F366" s="816">
        <v>0.71</v>
      </c>
      <c r="G366" s="312">
        <f t="shared" si="21"/>
        <v>0.71</v>
      </c>
    </row>
    <row r="367" spans="1:9" ht="20.399999999999999">
      <c r="A367" s="309" t="s">
        <v>1295</v>
      </c>
      <c r="B367" s="297" t="s">
        <v>1296</v>
      </c>
      <c r="C367" s="294" t="s">
        <v>1292</v>
      </c>
      <c r="D367" s="293" t="s">
        <v>383</v>
      </c>
      <c r="E367" s="325">
        <v>1</v>
      </c>
      <c r="F367" s="816">
        <v>0.35</v>
      </c>
      <c r="G367" s="296">
        <f t="shared" si="21"/>
        <v>0.35</v>
      </c>
    </row>
    <row r="368" spans="1:9" ht="20.399999999999999">
      <c r="A368" s="309" t="s">
        <v>1297</v>
      </c>
      <c r="B368" s="297" t="s">
        <v>1298</v>
      </c>
      <c r="C368" s="294" t="s">
        <v>1292</v>
      </c>
      <c r="D368" s="293" t="s">
        <v>383</v>
      </c>
      <c r="E368" s="325">
        <v>1</v>
      </c>
      <c r="F368" s="816">
        <v>7.0000000000000007E-2</v>
      </c>
      <c r="G368" s="296">
        <f t="shared" si="21"/>
        <v>7.0000000000000007E-2</v>
      </c>
    </row>
    <row r="369" spans="1:9">
      <c r="A369" s="309" t="s">
        <v>1467</v>
      </c>
      <c r="B369" s="297" t="s">
        <v>1197</v>
      </c>
      <c r="C369" s="294" t="s">
        <v>87</v>
      </c>
      <c r="D369" s="293" t="s">
        <v>383</v>
      </c>
      <c r="E369" s="325">
        <v>1</v>
      </c>
      <c r="F369" s="816">
        <v>0.34</v>
      </c>
      <c r="G369" s="312">
        <f t="shared" si="21"/>
        <v>0.34</v>
      </c>
    </row>
    <row r="370" spans="1:9" ht="14.1" customHeight="1">
      <c r="A370" s="309" t="s">
        <v>1299</v>
      </c>
      <c r="B370" s="297" t="s">
        <v>1223</v>
      </c>
      <c r="C370" s="294" t="s">
        <v>87</v>
      </c>
      <c r="D370" s="293" t="s">
        <v>383</v>
      </c>
      <c r="E370" s="325">
        <v>1</v>
      </c>
      <c r="F370" s="816">
        <v>1.08</v>
      </c>
      <c r="G370" s="296">
        <f t="shared" si="21"/>
        <v>1.08</v>
      </c>
    </row>
    <row r="371" spans="1:9" ht="26.25" customHeight="1">
      <c r="A371" s="309">
        <v>95385</v>
      </c>
      <c r="B371" s="297" t="s">
        <v>1429</v>
      </c>
      <c r="C371" s="294" t="s">
        <v>104</v>
      </c>
      <c r="D371" s="293" t="s">
        <v>383</v>
      </c>
      <c r="E371" s="325">
        <v>1</v>
      </c>
      <c r="F371" s="816">
        <v>0.12</v>
      </c>
      <c r="G371" s="296">
        <f t="shared" si="21"/>
        <v>0.12</v>
      </c>
    </row>
    <row r="372" spans="1:9" ht="14.1" customHeight="1">
      <c r="C372" s="122"/>
      <c r="D372" s="328"/>
      <c r="E372" s="300"/>
      <c r="F372" s="301" t="s">
        <v>90</v>
      </c>
      <c r="G372" s="312">
        <f>G364+G371</f>
        <v>16.27</v>
      </c>
    </row>
    <row r="373" spans="1:9" ht="14.1" customHeight="1">
      <c r="C373" s="122"/>
      <c r="E373" s="300"/>
      <c r="F373" s="301" t="s">
        <v>92</v>
      </c>
      <c r="G373" s="312">
        <f>SUM(G365:G370)</f>
        <v>4.75</v>
      </c>
    </row>
    <row r="374" spans="1:9" ht="14.1" customHeight="1">
      <c r="A374" s="302"/>
      <c r="C374" s="122"/>
      <c r="E374" s="300"/>
      <c r="F374" s="301" t="s">
        <v>93</v>
      </c>
      <c r="G374" s="820">
        <f>SUM(G372:G373)</f>
        <v>21.02</v>
      </c>
      <c r="H374" s="304"/>
    </row>
    <row r="375" spans="1:9">
      <c r="A375" s="305"/>
      <c r="B375" s="366"/>
      <c r="C375" s="308"/>
      <c r="D375" s="305"/>
      <c r="E375" s="306"/>
      <c r="F375" s="306"/>
      <c r="G375" s="306"/>
      <c r="H375" s="305"/>
      <c r="I375" s="305"/>
    </row>
    <row r="377" spans="1:9">
      <c r="A377" s="826" t="s">
        <v>2710</v>
      </c>
      <c r="C377" s="124"/>
      <c r="D377" s="122"/>
      <c r="E377" s="128"/>
      <c r="H377" s="122"/>
    </row>
    <row r="378" spans="1:9">
      <c r="A378" s="122" t="s">
        <v>33</v>
      </c>
      <c r="B378" s="149" t="s">
        <v>2759</v>
      </c>
      <c r="C378" s="124"/>
      <c r="D378" s="122"/>
      <c r="E378" s="128"/>
      <c r="H378" s="122"/>
    </row>
    <row r="379" spans="1:9" ht="22.5" customHeight="1">
      <c r="A379" s="122" t="s">
        <v>76</v>
      </c>
      <c r="B379" s="1161" t="s">
        <v>1786</v>
      </c>
      <c r="C379" s="1161"/>
      <c r="D379" s="290" t="s">
        <v>383</v>
      </c>
      <c r="F379" s="353"/>
      <c r="H379" s="122"/>
    </row>
    <row r="380" spans="1:9" ht="20.399999999999999">
      <c r="A380" s="361" t="s">
        <v>30</v>
      </c>
      <c r="B380" s="297" t="s">
        <v>19</v>
      </c>
      <c r="C380" s="293" t="s">
        <v>81</v>
      </c>
      <c r="D380" s="293" t="s">
        <v>77</v>
      </c>
      <c r="E380" s="294" t="s">
        <v>82</v>
      </c>
      <c r="F380" s="295" t="s">
        <v>83</v>
      </c>
      <c r="G380" s="324" t="s">
        <v>84</v>
      </c>
    </row>
    <row r="381" spans="1:9" ht="15" customHeight="1">
      <c r="A381" s="309">
        <v>12873</v>
      </c>
      <c r="B381" s="297" t="s">
        <v>1787</v>
      </c>
      <c r="C381" s="294" t="s">
        <v>104</v>
      </c>
      <c r="D381" s="293" t="s">
        <v>383</v>
      </c>
      <c r="E381" s="325">
        <v>1</v>
      </c>
      <c r="F381" s="815">
        <v>15.69</v>
      </c>
      <c r="G381" s="312">
        <f t="shared" ref="G381:G388" si="22">TRUNC(E381*F381,2)</f>
        <v>15.69</v>
      </c>
    </row>
    <row r="382" spans="1:9" ht="20.399999999999999">
      <c r="A382" s="309" t="s">
        <v>1290</v>
      </c>
      <c r="B382" s="297" t="s">
        <v>1291</v>
      </c>
      <c r="C382" s="294" t="s">
        <v>1292</v>
      </c>
      <c r="D382" s="293" t="s">
        <v>383</v>
      </c>
      <c r="E382" s="325">
        <v>1</v>
      </c>
      <c r="F382" s="816">
        <v>2.2000000000000002</v>
      </c>
      <c r="G382" s="296">
        <f t="shared" si="22"/>
        <v>2.2000000000000002</v>
      </c>
    </row>
    <row r="383" spans="1:9" ht="20.399999999999999">
      <c r="A383" s="309" t="s">
        <v>1293</v>
      </c>
      <c r="B383" s="297" t="s">
        <v>1294</v>
      </c>
      <c r="C383" s="294" t="s">
        <v>1292</v>
      </c>
      <c r="D383" s="293" t="s">
        <v>383</v>
      </c>
      <c r="E383" s="325">
        <v>1</v>
      </c>
      <c r="F383" s="816">
        <v>0.71</v>
      </c>
      <c r="G383" s="312">
        <f t="shared" si="22"/>
        <v>0.71</v>
      </c>
    </row>
    <row r="384" spans="1:9" ht="20.399999999999999">
      <c r="A384" s="309" t="s">
        <v>1295</v>
      </c>
      <c r="B384" s="297" t="s">
        <v>1296</v>
      </c>
      <c r="C384" s="294" t="s">
        <v>1292</v>
      </c>
      <c r="D384" s="293" t="s">
        <v>383</v>
      </c>
      <c r="E384" s="325">
        <v>1</v>
      </c>
      <c r="F384" s="816">
        <v>0.35</v>
      </c>
      <c r="G384" s="296">
        <f t="shared" si="22"/>
        <v>0.35</v>
      </c>
    </row>
    <row r="385" spans="1:8" ht="20.399999999999999">
      <c r="A385" s="309" t="s">
        <v>1297</v>
      </c>
      <c r="B385" s="297" t="s">
        <v>1298</v>
      </c>
      <c r="C385" s="294" t="s">
        <v>1292</v>
      </c>
      <c r="D385" s="293" t="s">
        <v>383</v>
      </c>
      <c r="E385" s="325">
        <v>1</v>
      </c>
      <c r="F385" s="816">
        <v>7.0000000000000007E-2</v>
      </c>
      <c r="G385" s="296">
        <f t="shared" si="22"/>
        <v>7.0000000000000007E-2</v>
      </c>
    </row>
    <row r="386" spans="1:8">
      <c r="A386" s="309" t="s">
        <v>1467</v>
      </c>
      <c r="B386" s="297" t="s">
        <v>1197</v>
      </c>
      <c r="C386" s="294" t="s">
        <v>87</v>
      </c>
      <c r="D386" s="293" t="s">
        <v>383</v>
      </c>
      <c r="E386" s="325">
        <v>1</v>
      </c>
      <c r="F386" s="816">
        <v>0.5</v>
      </c>
      <c r="G386" s="312">
        <f t="shared" si="22"/>
        <v>0.5</v>
      </c>
    </row>
    <row r="387" spans="1:8">
      <c r="A387" s="309" t="s">
        <v>1299</v>
      </c>
      <c r="B387" s="297" t="s">
        <v>1223</v>
      </c>
      <c r="C387" s="294" t="s">
        <v>87</v>
      </c>
      <c r="D387" s="293" t="s">
        <v>383</v>
      </c>
      <c r="E387" s="325">
        <v>1</v>
      </c>
      <c r="F387" s="816">
        <v>0.96</v>
      </c>
      <c r="G387" s="296">
        <f t="shared" si="22"/>
        <v>0.96</v>
      </c>
    </row>
    <row r="388" spans="1:8" ht="20.399999999999999">
      <c r="A388" s="309">
        <v>95338</v>
      </c>
      <c r="B388" s="297" t="s">
        <v>1788</v>
      </c>
      <c r="C388" s="294" t="s">
        <v>104</v>
      </c>
      <c r="D388" s="293" t="s">
        <v>383</v>
      </c>
      <c r="E388" s="325">
        <v>1</v>
      </c>
      <c r="F388" s="816">
        <v>0.19</v>
      </c>
      <c r="G388" s="296">
        <f t="shared" si="22"/>
        <v>0.19</v>
      </c>
    </row>
    <row r="389" spans="1:8">
      <c r="C389" s="122"/>
      <c r="D389" s="328"/>
      <c r="E389" s="300"/>
      <c r="F389" s="301" t="s">
        <v>90</v>
      </c>
      <c r="G389" s="312">
        <f>G381+G388</f>
        <v>15.879999999999999</v>
      </c>
    </row>
    <row r="390" spans="1:8">
      <c r="C390" s="122"/>
      <c r="E390" s="300"/>
      <c r="F390" s="301" t="s">
        <v>92</v>
      </c>
      <c r="G390" s="312">
        <f>SUM(G382:G387)</f>
        <v>4.79</v>
      </c>
    </row>
    <row r="391" spans="1:8">
      <c r="A391" s="302"/>
      <c r="C391" s="122"/>
      <c r="E391" s="300"/>
      <c r="F391" s="301" t="s">
        <v>93</v>
      </c>
      <c r="G391" s="820">
        <f>SUM(G389:G390)</f>
        <v>20.669999999999998</v>
      </c>
      <c r="H391" s="304"/>
    </row>
    <row r="392" spans="1:8">
      <c r="A392" s="305"/>
      <c r="B392" s="366"/>
      <c r="C392" s="308"/>
      <c r="D392" s="305"/>
      <c r="E392" s="306"/>
      <c r="F392" s="306"/>
      <c r="G392" s="306"/>
      <c r="H392" s="305"/>
    </row>
    <row r="394" spans="1:8">
      <c r="A394" s="826" t="s">
        <v>2710</v>
      </c>
      <c r="C394" s="124"/>
      <c r="D394" s="122"/>
      <c r="E394" s="128"/>
      <c r="H394" s="122"/>
    </row>
    <row r="395" spans="1:8" ht="12.75" customHeight="1">
      <c r="A395" s="122" t="s">
        <v>33</v>
      </c>
      <c r="B395" s="149" t="s">
        <v>2813</v>
      </c>
      <c r="C395" s="124"/>
      <c r="D395" s="122"/>
      <c r="E395" s="128"/>
      <c r="H395" s="122"/>
    </row>
    <row r="396" spans="1:8" ht="15.75" customHeight="1">
      <c r="A396" s="122" t="s">
        <v>76</v>
      </c>
      <c r="B396" s="1161" t="s">
        <v>252</v>
      </c>
      <c r="C396" s="1161"/>
      <c r="D396" s="290" t="s">
        <v>383</v>
      </c>
      <c r="F396" s="353"/>
      <c r="H396" s="122"/>
    </row>
    <row r="397" spans="1:8" ht="24.75" customHeight="1">
      <c r="A397" s="361" t="s">
        <v>30</v>
      </c>
      <c r="B397" s="297" t="s">
        <v>19</v>
      </c>
      <c r="C397" s="293" t="s">
        <v>81</v>
      </c>
      <c r="D397" s="293" t="s">
        <v>77</v>
      </c>
      <c r="E397" s="294" t="s">
        <v>82</v>
      </c>
      <c r="F397" s="295" t="s">
        <v>83</v>
      </c>
      <c r="G397" s="324" t="s">
        <v>84</v>
      </c>
    </row>
    <row r="398" spans="1:8" ht="14.25" customHeight="1">
      <c r="A398" s="309">
        <v>4755</v>
      </c>
      <c r="B398" s="297" t="s">
        <v>1809</v>
      </c>
      <c r="C398" s="294" t="s">
        <v>104</v>
      </c>
      <c r="D398" s="293" t="s">
        <v>383</v>
      </c>
      <c r="E398" s="325">
        <v>1</v>
      </c>
      <c r="F398" s="815">
        <v>15.13</v>
      </c>
      <c r="G398" s="312">
        <f t="shared" ref="G398:G405" si="23">TRUNC(E398*F398,2)</f>
        <v>15.13</v>
      </c>
    </row>
    <row r="399" spans="1:8" ht="20.399999999999999">
      <c r="A399" s="309" t="s">
        <v>1290</v>
      </c>
      <c r="B399" s="297" t="s">
        <v>1291</v>
      </c>
      <c r="C399" s="294" t="s">
        <v>1292</v>
      </c>
      <c r="D399" s="293" t="s">
        <v>383</v>
      </c>
      <c r="E399" s="325">
        <v>1</v>
      </c>
      <c r="F399" s="816">
        <v>2.2000000000000002</v>
      </c>
      <c r="G399" s="296">
        <f t="shared" si="23"/>
        <v>2.2000000000000002</v>
      </c>
    </row>
    <row r="400" spans="1:8" ht="20.399999999999999">
      <c r="A400" s="309" t="s">
        <v>1293</v>
      </c>
      <c r="B400" s="297" t="s">
        <v>1294</v>
      </c>
      <c r="C400" s="294" t="s">
        <v>1292</v>
      </c>
      <c r="D400" s="293" t="s">
        <v>383</v>
      </c>
      <c r="E400" s="325">
        <v>1</v>
      </c>
      <c r="F400" s="816">
        <v>0.71</v>
      </c>
      <c r="G400" s="312">
        <f t="shared" si="23"/>
        <v>0.71</v>
      </c>
    </row>
    <row r="401" spans="1:8" ht="20.399999999999999">
      <c r="A401" s="309" t="s">
        <v>1295</v>
      </c>
      <c r="B401" s="297" t="s">
        <v>1296</v>
      </c>
      <c r="C401" s="294" t="s">
        <v>1292</v>
      </c>
      <c r="D401" s="293" t="s">
        <v>383</v>
      </c>
      <c r="E401" s="325">
        <v>1</v>
      </c>
      <c r="F401" s="816">
        <v>0.35</v>
      </c>
      <c r="G401" s="296">
        <f t="shared" si="23"/>
        <v>0.35</v>
      </c>
    </row>
    <row r="402" spans="1:8" ht="20.399999999999999">
      <c r="A402" s="309" t="s">
        <v>1297</v>
      </c>
      <c r="B402" s="297" t="s">
        <v>1298</v>
      </c>
      <c r="C402" s="294" t="s">
        <v>1292</v>
      </c>
      <c r="D402" s="293" t="s">
        <v>383</v>
      </c>
      <c r="E402" s="325">
        <v>1</v>
      </c>
      <c r="F402" s="816">
        <v>7.0000000000000007E-2</v>
      </c>
      <c r="G402" s="296">
        <f t="shared" si="23"/>
        <v>7.0000000000000007E-2</v>
      </c>
    </row>
    <row r="403" spans="1:8">
      <c r="A403" s="309" t="s">
        <v>1467</v>
      </c>
      <c r="B403" s="297" t="s">
        <v>1197</v>
      </c>
      <c r="C403" s="294" t="s">
        <v>87</v>
      </c>
      <c r="D403" s="293" t="s">
        <v>383</v>
      </c>
      <c r="E403" s="325">
        <v>1</v>
      </c>
      <c r="F403" s="816">
        <v>0.5</v>
      </c>
      <c r="G403" s="312">
        <f t="shared" si="23"/>
        <v>0.5</v>
      </c>
    </row>
    <row r="404" spans="1:8" ht="15" customHeight="1">
      <c r="A404" s="309" t="s">
        <v>1299</v>
      </c>
      <c r="B404" s="297" t="s">
        <v>1223</v>
      </c>
      <c r="C404" s="294" t="s">
        <v>87</v>
      </c>
      <c r="D404" s="293" t="s">
        <v>383</v>
      </c>
      <c r="E404" s="325">
        <v>1</v>
      </c>
      <c r="F404" s="816">
        <v>0.96</v>
      </c>
      <c r="G404" s="296">
        <f t="shared" si="23"/>
        <v>0.96</v>
      </c>
    </row>
    <row r="405" spans="1:8" ht="20.399999999999999">
      <c r="A405" s="309">
        <v>95341</v>
      </c>
      <c r="B405" s="297" t="s">
        <v>1810</v>
      </c>
      <c r="C405" s="294" t="s">
        <v>104</v>
      </c>
      <c r="D405" s="293" t="s">
        <v>383</v>
      </c>
      <c r="E405" s="325">
        <v>1</v>
      </c>
      <c r="F405" s="816">
        <v>0.15</v>
      </c>
      <c r="G405" s="296">
        <f t="shared" si="23"/>
        <v>0.15</v>
      </c>
    </row>
    <row r="406" spans="1:8" ht="15" customHeight="1">
      <c r="C406" s="122"/>
      <c r="D406" s="328"/>
      <c r="E406" s="300"/>
      <c r="F406" s="301" t="s">
        <v>90</v>
      </c>
      <c r="G406" s="312">
        <f>G398+G405</f>
        <v>15.280000000000001</v>
      </c>
    </row>
    <row r="407" spans="1:8" ht="15" customHeight="1">
      <c r="C407" s="122"/>
      <c r="E407" s="300"/>
      <c r="F407" s="301" t="s">
        <v>92</v>
      </c>
      <c r="G407" s="312">
        <f>SUM(G399:G404)</f>
        <v>4.79</v>
      </c>
    </row>
    <row r="408" spans="1:8" ht="15" customHeight="1">
      <c r="A408" s="302"/>
      <c r="C408" s="122"/>
      <c r="E408" s="300"/>
      <c r="F408" s="301" t="s">
        <v>93</v>
      </c>
      <c r="G408" s="820">
        <f>SUM(G406:G407)</f>
        <v>20.07</v>
      </c>
      <c r="H408" s="304"/>
    </row>
    <row r="409" spans="1:8">
      <c r="A409" s="305"/>
      <c r="B409" s="366"/>
      <c r="C409" s="308"/>
      <c r="D409" s="305"/>
      <c r="E409" s="306"/>
      <c r="F409" s="306"/>
      <c r="G409" s="306"/>
      <c r="H409" s="305"/>
    </row>
    <row r="411" spans="1:8">
      <c r="A411" s="826" t="s">
        <v>2710</v>
      </c>
      <c r="C411" s="124"/>
      <c r="D411" s="122"/>
      <c r="E411" s="128"/>
      <c r="H411" s="122"/>
    </row>
    <row r="412" spans="1:8">
      <c r="A412" s="122" t="s">
        <v>33</v>
      </c>
      <c r="B412" s="149" t="s">
        <v>2502</v>
      </c>
      <c r="C412" s="124"/>
      <c r="D412" s="122"/>
      <c r="E412" s="128"/>
      <c r="H412" s="122"/>
    </row>
    <row r="413" spans="1:8">
      <c r="A413" s="122" t="s">
        <v>76</v>
      </c>
      <c r="B413" s="352" t="s">
        <v>2500</v>
      </c>
      <c r="C413" s="290" t="s">
        <v>383</v>
      </c>
      <c r="D413" s="122"/>
      <c r="F413" s="353"/>
      <c r="H413" s="122"/>
    </row>
    <row r="414" spans="1:8" ht="20.399999999999999">
      <c r="A414" s="361" t="s">
        <v>30</v>
      </c>
      <c r="B414" s="297" t="s">
        <v>19</v>
      </c>
      <c r="C414" s="293" t="s">
        <v>81</v>
      </c>
      <c r="D414" s="293" t="s">
        <v>77</v>
      </c>
      <c r="E414" s="294" t="s">
        <v>82</v>
      </c>
      <c r="F414" s="295" t="s">
        <v>83</v>
      </c>
      <c r="G414" s="324" t="s">
        <v>84</v>
      </c>
    </row>
    <row r="415" spans="1:8">
      <c r="A415" s="309">
        <v>10489</v>
      </c>
      <c r="B415" s="297" t="s">
        <v>2503</v>
      </c>
      <c r="C415" s="294" t="s">
        <v>104</v>
      </c>
      <c r="D415" s="293" t="s">
        <v>383</v>
      </c>
      <c r="E415" s="325">
        <v>1</v>
      </c>
      <c r="F415" s="815">
        <v>14.17</v>
      </c>
      <c r="G415" s="312">
        <f t="shared" ref="G415:G422" si="24">TRUNC(E415*F415,2)</f>
        <v>14.17</v>
      </c>
    </row>
    <row r="416" spans="1:8" ht="20.399999999999999">
      <c r="A416" s="309" t="s">
        <v>1290</v>
      </c>
      <c r="B416" s="297" t="s">
        <v>1291</v>
      </c>
      <c r="C416" s="294" t="s">
        <v>1292</v>
      </c>
      <c r="D416" s="293" t="s">
        <v>383</v>
      </c>
      <c r="E416" s="325">
        <v>1</v>
      </c>
      <c r="F416" s="816">
        <v>2.2000000000000002</v>
      </c>
      <c r="G416" s="296">
        <f t="shared" si="24"/>
        <v>2.2000000000000002</v>
      </c>
    </row>
    <row r="417" spans="1:8" ht="20.399999999999999">
      <c r="A417" s="309" t="s">
        <v>1293</v>
      </c>
      <c r="B417" s="297" t="s">
        <v>1294</v>
      </c>
      <c r="C417" s="294" t="s">
        <v>1292</v>
      </c>
      <c r="D417" s="293" t="s">
        <v>383</v>
      </c>
      <c r="E417" s="325">
        <v>1</v>
      </c>
      <c r="F417" s="816">
        <v>0.71</v>
      </c>
      <c r="G417" s="312">
        <f t="shared" si="24"/>
        <v>0.71</v>
      </c>
    </row>
    <row r="418" spans="1:8" ht="20.399999999999999">
      <c r="A418" s="309" t="s">
        <v>1295</v>
      </c>
      <c r="B418" s="297" t="s">
        <v>1296</v>
      </c>
      <c r="C418" s="294" t="s">
        <v>1292</v>
      </c>
      <c r="D418" s="293" t="s">
        <v>383</v>
      </c>
      <c r="E418" s="325">
        <v>1</v>
      </c>
      <c r="F418" s="816">
        <v>0.35</v>
      </c>
      <c r="G418" s="296">
        <f t="shared" si="24"/>
        <v>0.35</v>
      </c>
    </row>
    <row r="419" spans="1:8" ht="20.399999999999999">
      <c r="A419" s="309" t="s">
        <v>1297</v>
      </c>
      <c r="B419" s="297" t="s">
        <v>1298</v>
      </c>
      <c r="C419" s="294" t="s">
        <v>1292</v>
      </c>
      <c r="D419" s="293" t="s">
        <v>383</v>
      </c>
      <c r="E419" s="325">
        <v>1</v>
      </c>
      <c r="F419" s="816">
        <v>7.0000000000000007E-2</v>
      </c>
      <c r="G419" s="296">
        <f t="shared" si="24"/>
        <v>7.0000000000000007E-2</v>
      </c>
    </row>
    <row r="420" spans="1:8">
      <c r="A420" s="309" t="s">
        <v>1467</v>
      </c>
      <c r="B420" s="297" t="s">
        <v>1197</v>
      </c>
      <c r="C420" s="294" t="s">
        <v>87</v>
      </c>
      <c r="D420" s="293" t="s">
        <v>383</v>
      </c>
      <c r="E420" s="325">
        <v>1</v>
      </c>
      <c r="F420" s="816">
        <v>0.5</v>
      </c>
      <c r="G420" s="312">
        <f t="shared" si="24"/>
        <v>0.5</v>
      </c>
    </row>
    <row r="421" spans="1:8">
      <c r="A421" s="309" t="s">
        <v>1299</v>
      </c>
      <c r="B421" s="297" t="s">
        <v>1223</v>
      </c>
      <c r="C421" s="294" t="s">
        <v>87</v>
      </c>
      <c r="D421" s="293" t="s">
        <v>383</v>
      </c>
      <c r="E421" s="325">
        <v>1</v>
      </c>
      <c r="F421" s="816">
        <v>0.96</v>
      </c>
      <c r="G421" s="296">
        <f t="shared" si="24"/>
        <v>0.96</v>
      </c>
    </row>
    <row r="422" spans="1:8" ht="20.399999999999999">
      <c r="A422" s="309">
        <v>95387</v>
      </c>
      <c r="B422" s="297" t="s">
        <v>2504</v>
      </c>
      <c r="C422" s="294" t="s">
        <v>104</v>
      </c>
      <c r="D422" s="293" t="s">
        <v>383</v>
      </c>
      <c r="E422" s="325">
        <v>1</v>
      </c>
      <c r="F422" s="816">
        <v>0.14000000000000001</v>
      </c>
      <c r="G422" s="312">
        <f t="shared" si="24"/>
        <v>0.14000000000000001</v>
      </c>
    </row>
    <row r="423" spans="1:8">
      <c r="C423" s="122"/>
      <c r="D423" s="328"/>
      <c r="E423" s="300"/>
      <c r="F423" s="301" t="s">
        <v>90</v>
      </c>
      <c r="G423" s="312">
        <f>G415+G422</f>
        <v>14.31</v>
      </c>
    </row>
    <row r="424" spans="1:8">
      <c r="C424" s="122"/>
      <c r="E424" s="300"/>
      <c r="F424" s="301" t="s">
        <v>92</v>
      </c>
      <c r="G424" s="312">
        <f>SUM(G416:G421)</f>
        <v>4.79</v>
      </c>
    </row>
    <row r="425" spans="1:8">
      <c r="A425" s="302"/>
      <c r="C425" s="122"/>
      <c r="E425" s="300"/>
      <c r="F425" s="301" t="s">
        <v>93</v>
      </c>
      <c r="G425" s="820">
        <f>SUM(G423:G424)</f>
        <v>19.100000000000001</v>
      </c>
      <c r="H425" s="304"/>
    </row>
    <row r="426" spans="1:8">
      <c r="A426" s="305"/>
      <c r="B426" s="366"/>
      <c r="C426" s="308"/>
      <c r="D426" s="305"/>
      <c r="E426" s="306"/>
      <c r="F426" s="306"/>
      <c r="G426" s="306"/>
      <c r="H426" s="305"/>
    </row>
    <row r="428" spans="1:8">
      <c r="A428" s="826" t="s">
        <v>2710</v>
      </c>
      <c r="C428" s="124"/>
      <c r="D428" s="122"/>
      <c r="E428" s="128"/>
      <c r="H428" s="122"/>
    </row>
    <row r="429" spans="1:8">
      <c r="A429" s="122" t="s">
        <v>33</v>
      </c>
      <c r="B429" s="149" t="s">
        <v>1702</v>
      </c>
      <c r="C429" s="124"/>
      <c r="D429" s="122"/>
      <c r="E429" s="128"/>
      <c r="H429" s="122"/>
    </row>
    <row r="430" spans="1:8" ht="17.25" customHeight="1">
      <c r="A430" s="122" t="s">
        <v>76</v>
      </c>
      <c r="B430" s="352" t="s">
        <v>1701</v>
      </c>
      <c r="C430" s="290" t="s">
        <v>383</v>
      </c>
      <c r="D430" s="122"/>
      <c r="F430" s="353"/>
      <c r="H430" s="122"/>
    </row>
    <row r="431" spans="1:8" ht="20.399999999999999">
      <c r="A431" s="361" t="s">
        <v>30</v>
      </c>
      <c r="B431" s="297" t="s">
        <v>19</v>
      </c>
      <c r="C431" s="293" t="s">
        <v>81</v>
      </c>
      <c r="D431" s="293" t="s">
        <v>77</v>
      </c>
      <c r="E431" s="294" t="s">
        <v>82</v>
      </c>
      <c r="F431" s="295" t="s">
        <v>83</v>
      </c>
      <c r="G431" s="324" t="s">
        <v>84</v>
      </c>
    </row>
    <row r="432" spans="1:8" ht="15" customHeight="1">
      <c r="A432" s="309">
        <v>6110</v>
      </c>
      <c r="B432" s="297" t="s">
        <v>1703</v>
      </c>
      <c r="C432" s="294" t="s">
        <v>104</v>
      </c>
      <c r="D432" s="293" t="s">
        <v>383</v>
      </c>
      <c r="E432" s="325">
        <v>1</v>
      </c>
      <c r="F432" s="815">
        <v>14.88</v>
      </c>
      <c r="G432" s="312">
        <f t="shared" ref="G432:G439" si="25">TRUNC(E432*F432,2)</f>
        <v>14.88</v>
      </c>
    </row>
    <row r="433" spans="1:8" ht="20.399999999999999">
      <c r="A433" s="309" t="s">
        <v>1290</v>
      </c>
      <c r="B433" s="297" t="s">
        <v>1291</v>
      </c>
      <c r="C433" s="294" t="s">
        <v>1292</v>
      </c>
      <c r="D433" s="293" t="s">
        <v>383</v>
      </c>
      <c r="E433" s="325">
        <v>1</v>
      </c>
      <c r="F433" s="816">
        <v>2.2000000000000002</v>
      </c>
      <c r="G433" s="296">
        <f t="shared" si="25"/>
        <v>2.2000000000000002</v>
      </c>
    </row>
    <row r="434" spans="1:8" ht="20.399999999999999">
      <c r="A434" s="309" t="s">
        <v>1293</v>
      </c>
      <c r="B434" s="297" t="s">
        <v>1294</v>
      </c>
      <c r="C434" s="294" t="s">
        <v>1292</v>
      </c>
      <c r="D434" s="293" t="s">
        <v>383</v>
      </c>
      <c r="E434" s="325">
        <v>1</v>
      </c>
      <c r="F434" s="816">
        <v>0.71</v>
      </c>
      <c r="G434" s="312">
        <f t="shared" si="25"/>
        <v>0.71</v>
      </c>
    </row>
    <row r="435" spans="1:8" ht="20.399999999999999">
      <c r="A435" s="309" t="s">
        <v>1295</v>
      </c>
      <c r="B435" s="297" t="s">
        <v>1296</v>
      </c>
      <c r="C435" s="294" t="s">
        <v>1292</v>
      </c>
      <c r="D435" s="293" t="s">
        <v>383</v>
      </c>
      <c r="E435" s="325">
        <v>1</v>
      </c>
      <c r="F435" s="816">
        <v>0.35</v>
      </c>
      <c r="G435" s="296">
        <f t="shared" si="25"/>
        <v>0.35</v>
      </c>
    </row>
    <row r="436" spans="1:8" ht="20.399999999999999">
      <c r="A436" s="309" t="s">
        <v>1297</v>
      </c>
      <c r="B436" s="297" t="s">
        <v>1298</v>
      </c>
      <c r="C436" s="294" t="s">
        <v>1292</v>
      </c>
      <c r="D436" s="293" t="s">
        <v>383</v>
      </c>
      <c r="E436" s="325">
        <v>1</v>
      </c>
      <c r="F436" s="816">
        <v>7.0000000000000007E-2</v>
      </c>
      <c r="G436" s="296">
        <f t="shared" si="25"/>
        <v>7.0000000000000007E-2</v>
      </c>
    </row>
    <row r="437" spans="1:8">
      <c r="A437" s="309" t="s">
        <v>1467</v>
      </c>
      <c r="B437" s="297" t="s">
        <v>1197</v>
      </c>
      <c r="C437" s="294" t="s">
        <v>87</v>
      </c>
      <c r="D437" s="293" t="s">
        <v>383</v>
      </c>
      <c r="E437" s="325">
        <v>1</v>
      </c>
      <c r="F437" s="816">
        <v>0.5</v>
      </c>
      <c r="G437" s="312">
        <f t="shared" si="25"/>
        <v>0.5</v>
      </c>
    </row>
    <row r="438" spans="1:8" ht="14.1" customHeight="1">
      <c r="A438" s="309" t="s">
        <v>1299</v>
      </c>
      <c r="B438" s="297" t="s">
        <v>1223</v>
      </c>
      <c r="C438" s="294" t="s">
        <v>87</v>
      </c>
      <c r="D438" s="293" t="s">
        <v>383</v>
      </c>
      <c r="E438" s="325">
        <v>1</v>
      </c>
      <c r="F438" s="816">
        <v>0.96</v>
      </c>
      <c r="G438" s="296">
        <f t="shared" si="25"/>
        <v>0.96</v>
      </c>
    </row>
    <row r="439" spans="1:8" ht="20.399999999999999">
      <c r="A439" s="309">
        <v>95377</v>
      </c>
      <c r="B439" s="297" t="s">
        <v>1704</v>
      </c>
      <c r="C439" s="294" t="s">
        <v>104</v>
      </c>
      <c r="D439" s="293" t="s">
        <v>383</v>
      </c>
      <c r="E439" s="325">
        <v>1</v>
      </c>
      <c r="F439" s="816">
        <v>0.11</v>
      </c>
      <c r="G439" s="312">
        <f t="shared" si="25"/>
        <v>0.11</v>
      </c>
    </row>
    <row r="440" spans="1:8" ht="15" customHeight="1">
      <c r="C440" s="122"/>
      <c r="D440" s="328"/>
      <c r="E440" s="300"/>
      <c r="F440" s="301" t="s">
        <v>90</v>
      </c>
      <c r="G440" s="312">
        <f>G432+G439</f>
        <v>14.99</v>
      </c>
    </row>
    <row r="441" spans="1:8" ht="15" customHeight="1">
      <c r="C441" s="122"/>
      <c r="E441" s="300"/>
      <c r="F441" s="301" t="s">
        <v>92</v>
      </c>
      <c r="G441" s="312">
        <f>SUM(G433:G438)</f>
        <v>4.79</v>
      </c>
    </row>
    <row r="442" spans="1:8" ht="15" customHeight="1">
      <c r="A442" s="302"/>
      <c r="C442" s="122"/>
      <c r="E442" s="300"/>
      <c r="F442" s="301" t="s">
        <v>93</v>
      </c>
      <c r="G442" s="820">
        <f>SUM(G440:G441)</f>
        <v>19.78</v>
      </c>
      <c r="H442" s="304"/>
    </row>
    <row r="443" spans="1:8">
      <c r="A443" s="305"/>
      <c r="B443" s="366"/>
      <c r="C443" s="308"/>
      <c r="D443" s="305"/>
      <c r="E443" s="306"/>
      <c r="F443" s="306"/>
      <c r="G443" s="306"/>
      <c r="H443" s="305"/>
    </row>
    <row r="445" spans="1:8">
      <c r="A445" s="826" t="s">
        <v>2710</v>
      </c>
      <c r="C445" s="124"/>
      <c r="D445" s="122"/>
      <c r="E445" s="128"/>
      <c r="H445" s="122"/>
    </row>
    <row r="446" spans="1:8">
      <c r="A446" s="122" t="s">
        <v>33</v>
      </c>
      <c r="B446" s="819" t="s">
        <v>2727</v>
      </c>
      <c r="C446" s="124"/>
      <c r="D446" s="122"/>
      <c r="E446" s="128"/>
      <c r="H446" s="122"/>
    </row>
    <row r="447" spans="1:8" ht="21" customHeight="1">
      <c r="A447" s="122" t="s">
        <v>76</v>
      </c>
      <c r="B447" s="834" t="s">
        <v>2717</v>
      </c>
      <c r="C447" s="799" t="s">
        <v>383</v>
      </c>
      <c r="D447" s="122"/>
      <c r="F447" s="353"/>
      <c r="H447" s="122"/>
    </row>
    <row r="448" spans="1:8" ht="20.399999999999999">
      <c r="A448" s="361" t="s">
        <v>30</v>
      </c>
      <c r="B448" s="791" t="s">
        <v>19</v>
      </c>
      <c r="C448" s="293" t="s">
        <v>81</v>
      </c>
      <c r="D448" s="293" t="s">
        <v>77</v>
      </c>
      <c r="E448" s="780" t="s">
        <v>82</v>
      </c>
      <c r="F448" s="295" t="s">
        <v>83</v>
      </c>
      <c r="G448" s="324" t="s">
        <v>84</v>
      </c>
    </row>
    <row r="449" spans="1:8" ht="15" customHeight="1">
      <c r="A449" s="818">
        <v>4234</v>
      </c>
      <c r="B449" s="817" t="s">
        <v>2726</v>
      </c>
      <c r="C449" s="780" t="s">
        <v>104</v>
      </c>
      <c r="D449" s="293" t="s">
        <v>383</v>
      </c>
      <c r="E449" s="325">
        <v>1</v>
      </c>
      <c r="F449" s="815">
        <v>14.32</v>
      </c>
      <c r="G449" s="312">
        <f t="shared" ref="G449:G456" si="26">TRUNC(E449*F449,2)</f>
        <v>14.32</v>
      </c>
    </row>
    <row r="450" spans="1:8" ht="20.399999999999999">
      <c r="A450" s="790" t="s">
        <v>1290</v>
      </c>
      <c r="B450" s="791" t="s">
        <v>1291</v>
      </c>
      <c r="C450" s="780" t="s">
        <v>1292</v>
      </c>
      <c r="D450" s="293" t="s">
        <v>383</v>
      </c>
      <c r="E450" s="325">
        <v>1</v>
      </c>
      <c r="F450" s="816">
        <v>2.2000000000000002</v>
      </c>
      <c r="G450" s="296">
        <f t="shared" si="26"/>
        <v>2.2000000000000002</v>
      </c>
    </row>
    <row r="451" spans="1:8" ht="20.399999999999999">
      <c r="A451" s="790" t="s">
        <v>1293</v>
      </c>
      <c r="B451" s="791" t="s">
        <v>1294</v>
      </c>
      <c r="C451" s="780" t="s">
        <v>1292</v>
      </c>
      <c r="D451" s="293" t="s">
        <v>383</v>
      </c>
      <c r="E451" s="325">
        <v>1</v>
      </c>
      <c r="F451" s="816">
        <v>0.71</v>
      </c>
      <c r="G451" s="312">
        <f t="shared" si="26"/>
        <v>0.71</v>
      </c>
    </row>
    <row r="452" spans="1:8" ht="20.399999999999999">
      <c r="A452" s="790" t="s">
        <v>1295</v>
      </c>
      <c r="B452" s="791" t="s">
        <v>1296</v>
      </c>
      <c r="C452" s="780" t="s">
        <v>1292</v>
      </c>
      <c r="D452" s="293" t="s">
        <v>383</v>
      </c>
      <c r="E452" s="325">
        <v>1</v>
      </c>
      <c r="F452" s="816">
        <v>0.35</v>
      </c>
      <c r="G452" s="296">
        <f t="shared" si="26"/>
        <v>0.35</v>
      </c>
    </row>
    <row r="453" spans="1:8" ht="20.399999999999999">
      <c r="A453" s="790" t="s">
        <v>1297</v>
      </c>
      <c r="B453" s="791" t="s">
        <v>1298</v>
      </c>
      <c r="C453" s="780" t="s">
        <v>1292</v>
      </c>
      <c r="D453" s="293" t="s">
        <v>383</v>
      </c>
      <c r="E453" s="325">
        <v>1</v>
      </c>
      <c r="F453" s="816">
        <v>7.0000000000000007E-2</v>
      </c>
      <c r="G453" s="296">
        <f t="shared" si="26"/>
        <v>7.0000000000000007E-2</v>
      </c>
    </row>
    <row r="454" spans="1:8">
      <c r="A454" s="790" t="s">
        <v>1467</v>
      </c>
      <c r="B454" s="791" t="s">
        <v>1197</v>
      </c>
      <c r="C454" s="780" t="s">
        <v>87</v>
      </c>
      <c r="D454" s="293" t="s">
        <v>383</v>
      </c>
      <c r="E454" s="325">
        <v>1</v>
      </c>
      <c r="F454" s="816">
        <v>0.01</v>
      </c>
      <c r="G454" s="312">
        <f t="shared" si="26"/>
        <v>0.01</v>
      </c>
    </row>
    <row r="455" spans="1:8" ht="14.1" customHeight="1">
      <c r="A455" s="790" t="s">
        <v>1299</v>
      </c>
      <c r="B455" s="791" t="s">
        <v>1223</v>
      </c>
      <c r="C455" s="780" t="s">
        <v>87</v>
      </c>
      <c r="D455" s="293" t="s">
        <v>383</v>
      </c>
      <c r="E455" s="325">
        <v>1</v>
      </c>
      <c r="F455" s="816">
        <v>0.66</v>
      </c>
      <c r="G455" s="296">
        <f t="shared" si="26"/>
        <v>0.66</v>
      </c>
    </row>
    <row r="456" spans="1:8" ht="20.399999999999999">
      <c r="A456" s="790">
        <v>95377</v>
      </c>
      <c r="B456" s="791" t="s">
        <v>1704</v>
      </c>
      <c r="C456" s="780" t="s">
        <v>104</v>
      </c>
      <c r="D456" s="293" t="s">
        <v>383</v>
      </c>
      <c r="E456" s="325">
        <v>1</v>
      </c>
      <c r="F456" s="816">
        <v>0.11</v>
      </c>
      <c r="G456" s="312">
        <f t="shared" si="26"/>
        <v>0.11</v>
      </c>
    </row>
    <row r="457" spans="1:8" ht="15" customHeight="1">
      <c r="C457" s="122"/>
      <c r="D457" s="328"/>
      <c r="E457" s="300"/>
      <c r="F457" s="301" t="s">
        <v>90</v>
      </c>
      <c r="G457" s="312">
        <f>G449+G456</f>
        <v>14.43</v>
      </c>
    </row>
    <row r="458" spans="1:8" ht="15" customHeight="1">
      <c r="C458" s="122"/>
      <c r="E458" s="300"/>
      <c r="F458" s="301" t="s">
        <v>92</v>
      </c>
      <c r="G458" s="312">
        <f>SUM(G450:G455)</f>
        <v>4</v>
      </c>
    </row>
    <row r="459" spans="1:8" ht="15" customHeight="1">
      <c r="A459" s="302"/>
      <c r="C459" s="122"/>
      <c r="E459" s="300"/>
      <c r="F459" s="301" t="s">
        <v>93</v>
      </c>
      <c r="G459" s="820">
        <f>SUM(G457:G458)</f>
        <v>18.43</v>
      </c>
      <c r="H459" s="304"/>
    </row>
    <row r="460" spans="1:8">
      <c r="A460" s="305"/>
      <c r="B460" s="366"/>
      <c r="C460" s="308"/>
      <c r="D460" s="305"/>
      <c r="E460" s="306"/>
      <c r="F460" s="306"/>
      <c r="G460" s="306"/>
      <c r="H460" s="305"/>
    </row>
    <row r="462" spans="1:8">
      <c r="A462" s="826" t="s">
        <v>2709</v>
      </c>
    </row>
    <row r="463" spans="1:8">
      <c r="A463" s="122" t="s">
        <v>1195</v>
      </c>
      <c r="B463" s="148" t="s">
        <v>2715</v>
      </c>
      <c r="C463" s="123"/>
    </row>
    <row r="464" spans="1:8" ht="45.75" customHeight="1">
      <c r="A464" s="122" t="s">
        <v>76</v>
      </c>
      <c r="B464" s="1161" t="s">
        <v>2716</v>
      </c>
      <c r="C464" s="1161"/>
      <c r="D464" s="1161"/>
      <c r="E464" s="150" t="s">
        <v>1256</v>
      </c>
      <c r="F464" s="289"/>
      <c r="G464" s="289"/>
    </row>
    <row r="465" spans="1:9" ht="20.399999999999999">
      <c r="A465" s="291" t="s">
        <v>30</v>
      </c>
      <c r="B465" s="292" t="s">
        <v>19</v>
      </c>
      <c r="C465" s="293" t="s">
        <v>81</v>
      </c>
      <c r="D465" s="293" t="s">
        <v>77</v>
      </c>
      <c r="E465" s="780" t="s">
        <v>82</v>
      </c>
      <c r="F465" s="295" t="s">
        <v>83</v>
      </c>
      <c r="G465" s="296" t="s">
        <v>84</v>
      </c>
    </row>
    <row r="466" spans="1:9" ht="15" customHeight="1">
      <c r="A466" s="1240">
        <v>88294</v>
      </c>
      <c r="B466" s="1173" t="s">
        <v>2717</v>
      </c>
      <c r="C466" s="296" t="s">
        <v>104</v>
      </c>
      <c r="D466" s="1189" t="s">
        <v>383</v>
      </c>
      <c r="E466" s="1285">
        <v>1</v>
      </c>
      <c r="F466" s="825">
        <f>'COMP AUX'!G457</f>
        <v>14.43</v>
      </c>
      <c r="G466" s="296">
        <f>TRUNC(E466*F466,2)</f>
        <v>14.43</v>
      </c>
    </row>
    <row r="467" spans="1:9" ht="15" customHeight="1">
      <c r="A467" s="1284"/>
      <c r="B467" s="1174"/>
      <c r="C467" s="296" t="s">
        <v>87</v>
      </c>
      <c r="D467" s="1190"/>
      <c r="E467" s="1286"/>
      <c r="F467" s="825">
        <f>'COMP AUX'!G458</f>
        <v>4</v>
      </c>
      <c r="G467" s="296">
        <f>TRUNC(E466*F467,2)</f>
        <v>4</v>
      </c>
    </row>
    <row r="468" spans="1:9" ht="73.5" customHeight="1">
      <c r="A468" s="818">
        <v>88857</v>
      </c>
      <c r="B468" s="817" t="s">
        <v>2718</v>
      </c>
      <c r="C468" s="780" t="s">
        <v>1260</v>
      </c>
      <c r="D468" s="293" t="s">
        <v>383</v>
      </c>
      <c r="E468" s="789">
        <v>1</v>
      </c>
      <c r="F468" s="828">
        <v>14.22</v>
      </c>
      <c r="G468" s="312">
        <f>TRUNC(E468*F468,2)</f>
        <v>14.22</v>
      </c>
    </row>
    <row r="469" spans="1:9" ht="53.25" customHeight="1">
      <c r="A469" s="818">
        <v>88858</v>
      </c>
      <c r="B469" s="817" t="s">
        <v>2719</v>
      </c>
      <c r="C469" s="780" t="s">
        <v>1260</v>
      </c>
      <c r="D469" s="293" t="s">
        <v>383</v>
      </c>
      <c r="E469" s="789">
        <v>1</v>
      </c>
      <c r="F469" s="825">
        <v>1.93</v>
      </c>
      <c r="G469" s="312">
        <f>TRUNC(E469*F469,2)</f>
        <v>1.93</v>
      </c>
    </row>
    <row r="470" spans="1:9" ht="68.25" customHeight="1">
      <c r="A470" s="818" t="s">
        <v>2721</v>
      </c>
      <c r="B470" s="817" t="s">
        <v>2720</v>
      </c>
      <c r="C470" s="780" t="s">
        <v>1260</v>
      </c>
      <c r="D470" s="293" t="s">
        <v>383</v>
      </c>
      <c r="E470" s="789">
        <v>1</v>
      </c>
      <c r="F470" s="825">
        <v>17.78</v>
      </c>
      <c r="G470" s="312">
        <f>TRUNC(E470*F470,2)</f>
        <v>17.78</v>
      </c>
    </row>
    <row r="471" spans="1:9" ht="65.25" customHeight="1">
      <c r="A471" s="818">
        <v>53786</v>
      </c>
      <c r="B471" s="817" t="s">
        <v>2722</v>
      </c>
      <c r="C471" s="780" t="s">
        <v>1260</v>
      </c>
      <c r="D471" s="293" t="s">
        <v>383</v>
      </c>
      <c r="E471" s="789">
        <v>1</v>
      </c>
      <c r="F471" s="825">
        <v>29.07</v>
      </c>
      <c r="G471" s="312">
        <f>TRUNC(E471*F471,2)</f>
        <v>29.07</v>
      </c>
    </row>
    <row r="472" spans="1:9" ht="14.1" customHeight="1">
      <c r="D472" s="299"/>
      <c r="E472" s="300"/>
      <c r="F472" s="301" t="s">
        <v>90</v>
      </c>
      <c r="G472" s="296">
        <f>G466</f>
        <v>14.43</v>
      </c>
    </row>
    <row r="473" spans="1:9" ht="14.1" customHeight="1">
      <c r="D473" s="299"/>
      <c r="E473" s="300"/>
      <c r="F473" s="301" t="s">
        <v>92</v>
      </c>
      <c r="G473" s="296">
        <f>SUM(G467:G471)</f>
        <v>67</v>
      </c>
    </row>
    <row r="474" spans="1:9" ht="14.1" customHeight="1">
      <c r="A474" s="302"/>
      <c r="D474" s="299"/>
      <c r="E474" s="300"/>
      <c r="F474" s="301" t="s">
        <v>93</v>
      </c>
      <c r="G474" s="820">
        <f>SUM(G472:G473)</f>
        <v>81.430000000000007</v>
      </c>
      <c r="H474" s="304"/>
    </row>
    <row r="475" spans="1:9">
      <c r="A475" s="305"/>
      <c r="B475" s="306"/>
      <c r="C475" s="307"/>
      <c r="D475" s="308"/>
      <c r="E475" s="305"/>
      <c r="F475" s="306"/>
      <c r="G475" s="306"/>
      <c r="H475" s="306"/>
      <c r="I475" s="305"/>
    </row>
    <row r="476" spans="1:9">
      <c r="A476" s="305"/>
      <c r="B476" s="366"/>
      <c r="C476" s="308"/>
      <c r="D476" s="305"/>
      <c r="E476" s="306"/>
      <c r="F476" s="306"/>
      <c r="G476" s="306"/>
      <c r="H476" s="305"/>
    </row>
    <row r="478" spans="1:9">
      <c r="A478" s="826" t="s">
        <v>2709</v>
      </c>
    </row>
    <row r="479" spans="1:9">
      <c r="A479" s="122" t="s">
        <v>1195</v>
      </c>
      <c r="B479" s="836" t="s">
        <v>3274</v>
      </c>
      <c r="C479" s="123"/>
    </row>
    <row r="480" spans="1:9" ht="45.75" customHeight="1">
      <c r="A480" s="122" t="s">
        <v>76</v>
      </c>
      <c r="B480" s="1161" t="s">
        <v>2722</v>
      </c>
      <c r="C480" s="1161"/>
      <c r="D480" s="1161"/>
      <c r="E480" s="150" t="s">
        <v>1256</v>
      </c>
      <c r="F480" s="289"/>
      <c r="G480" s="289"/>
    </row>
    <row r="481" spans="1:8" ht="20.399999999999999">
      <c r="A481" s="291" t="s">
        <v>30</v>
      </c>
      <c r="B481" s="292" t="s">
        <v>19</v>
      </c>
      <c r="C481" s="293" t="s">
        <v>81</v>
      </c>
      <c r="D481" s="293" t="s">
        <v>77</v>
      </c>
      <c r="E481" s="1018" t="s">
        <v>82</v>
      </c>
      <c r="F481" s="1023" t="s">
        <v>83</v>
      </c>
      <c r="G481" s="296" t="s">
        <v>84</v>
      </c>
    </row>
    <row r="482" spans="1:8" ht="15" customHeight="1">
      <c r="A482" s="1240">
        <v>4221</v>
      </c>
      <c r="B482" s="1173" t="s">
        <v>1737</v>
      </c>
      <c r="C482" s="296" t="s">
        <v>104</v>
      </c>
      <c r="D482" s="1189" t="s">
        <v>383</v>
      </c>
      <c r="E482" s="1285">
        <v>8.92</v>
      </c>
      <c r="F482" s="825">
        <v>29.07</v>
      </c>
      <c r="G482" s="296">
        <f>TRUNC(E482*F482,2)</f>
        <v>259.3</v>
      </c>
    </row>
    <row r="483" spans="1:8" ht="15" customHeight="1">
      <c r="A483" s="1284"/>
      <c r="B483" s="1174"/>
      <c r="C483" s="296" t="s">
        <v>87</v>
      </c>
      <c r="D483" s="1190"/>
      <c r="E483" s="1286"/>
      <c r="F483" s="825">
        <f>G445</f>
        <v>0</v>
      </c>
      <c r="G483" s="296">
        <f>TRUNC(E482*F483,2)</f>
        <v>0</v>
      </c>
    </row>
    <row r="484" spans="1:8" ht="14.1" customHeight="1">
      <c r="D484" s="299"/>
      <c r="E484" s="300"/>
      <c r="F484" s="301" t="s">
        <v>90</v>
      </c>
      <c r="G484" s="296">
        <f>G482</f>
        <v>259.3</v>
      </c>
    </row>
    <row r="485" spans="1:8" ht="14.1" customHeight="1">
      <c r="D485" s="299"/>
      <c r="E485" s="300"/>
      <c r="F485" s="301" t="s">
        <v>92</v>
      </c>
      <c r="G485" s="296">
        <f>SUM(G483:G483)</f>
        <v>0</v>
      </c>
    </row>
    <row r="486" spans="1:8" ht="14.1" customHeight="1">
      <c r="A486" s="302"/>
      <c r="D486" s="299"/>
      <c r="E486" s="300"/>
      <c r="F486" s="301" t="s">
        <v>93</v>
      </c>
      <c r="G486" s="820">
        <f>SUM(G484:G485)</f>
        <v>259.3</v>
      </c>
      <c r="H486" s="304"/>
    </row>
    <row r="487" spans="1:8">
      <c r="A487" s="305"/>
      <c r="B487" s="366"/>
      <c r="C487" s="308"/>
      <c r="D487" s="305"/>
      <c r="E487" s="306"/>
      <c r="F487" s="306"/>
      <c r="G487" s="306"/>
      <c r="H487" s="305"/>
    </row>
    <row r="489" spans="1:8">
      <c r="A489" s="826" t="s">
        <v>2709</v>
      </c>
    </row>
    <row r="490" spans="1:8">
      <c r="A490" s="122" t="s">
        <v>1195</v>
      </c>
      <c r="B490" s="836" t="s">
        <v>2728</v>
      </c>
      <c r="C490" s="123"/>
    </row>
    <row r="491" spans="1:8" ht="45.75" customHeight="1">
      <c r="A491" s="122" t="s">
        <v>76</v>
      </c>
      <c r="B491" s="1161" t="s">
        <v>2716</v>
      </c>
      <c r="C491" s="1161"/>
      <c r="D491" s="1161"/>
      <c r="E491" s="150" t="s">
        <v>1256</v>
      </c>
      <c r="F491" s="289"/>
      <c r="G491" s="289"/>
    </row>
    <row r="492" spans="1:8" ht="20.399999999999999">
      <c r="A492" s="291" t="s">
        <v>30</v>
      </c>
      <c r="B492" s="292" t="s">
        <v>19</v>
      </c>
      <c r="C492" s="293" t="s">
        <v>81</v>
      </c>
      <c r="D492" s="293" t="s">
        <v>77</v>
      </c>
      <c r="E492" s="780" t="s">
        <v>82</v>
      </c>
      <c r="F492" s="295" t="s">
        <v>83</v>
      </c>
      <c r="G492" s="296" t="s">
        <v>84</v>
      </c>
    </row>
    <row r="493" spans="1:8" ht="15" customHeight="1">
      <c r="A493" s="1240">
        <v>88294</v>
      </c>
      <c r="B493" s="1173" t="s">
        <v>2717</v>
      </c>
      <c r="C493" s="296" t="s">
        <v>104</v>
      </c>
      <c r="D493" s="1189" t="s">
        <v>383</v>
      </c>
      <c r="E493" s="1285">
        <v>1</v>
      </c>
      <c r="F493" s="825">
        <f>G457</f>
        <v>14.43</v>
      </c>
      <c r="G493" s="296">
        <f>TRUNC(E493*F493,2)</f>
        <v>14.43</v>
      </c>
    </row>
    <row r="494" spans="1:8" ht="15" customHeight="1">
      <c r="A494" s="1284"/>
      <c r="B494" s="1174"/>
      <c r="C494" s="296" t="s">
        <v>87</v>
      </c>
      <c r="D494" s="1190"/>
      <c r="E494" s="1286"/>
      <c r="F494" s="825">
        <f>G458</f>
        <v>4</v>
      </c>
      <c r="G494" s="296">
        <f>TRUNC(E493*F494,2)</f>
        <v>4</v>
      </c>
    </row>
    <row r="495" spans="1:8" ht="73.5" customHeight="1">
      <c r="A495" s="818">
        <v>88857</v>
      </c>
      <c r="B495" s="817" t="s">
        <v>2718</v>
      </c>
      <c r="C495" s="780" t="s">
        <v>1260</v>
      </c>
      <c r="D495" s="293" t="s">
        <v>383</v>
      </c>
      <c r="E495" s="789">
        <v>1</v>
      </c>
      <c r="F495" s="828">
        <v>14.22</v>
      </c>
      <c r="G495" s="312">
        <f>TRUNC(E495*F495,2)</f>
        <v>14.22</v>
      </c>
    </row>
    <row r="496" spans="1:8" ht="53.25" customHeight="1">
      <c r="A496" s="818">
        <v>88858</v>
      </c>
      <c r="B496" s="817" t="s">
        <v>2719</v>
      </c>
      <c r="C496" s="780" t="s">
        <v>1260</v>
      </c>
      <c r="D496" s="293" t="s">
        <v>383</v>
      </c>
      <c r="E496" s="789">
        <v>1</v>
      </c>
      <c r="F496" s="825">
        <v>1.93</v>
      </c>
      <c r="G496" s="312">
        <f>TRUNC(E496*F496,2)</f>
        <v>1.93</v>
      </c>
    </row>
    <row r="497" spans="1:9" ht="14.1" customHeight="1">
      <c r="D497" s="299"/>
      <c r="E497" s="300"/>
      <c r="F497" s="301" t="s">
        <v>90</v>
      </c>
      <c r="G497" s="296">
        <f>G493</f>
        <v>14.43</v>
      </c>
    </row>
    <row r="498" spans="1:9" ht="14.1" customHeight="1">
      <c r="D498" s="299"/>
      <c r="E498" s="300"/>
      <c r="F498" s="301" t="s">
        <v>92</v>
      </c>
      <c r="G498" s="296">
        <f>SUM(G494:G496)</f>
        <v>20.149999999999999</v>
      </c>
    </row>
    <row r="499" spans="1:9" ht="14.1" customHeight="1">
      <c r="A499" s="302"/>
      <c r="D499" s="299"/>
      <c r="E499" s="300"/>
      <c r="F499" s="301" t="s">
        <v>93</v>
      </c>
      <c r="G499" s="820">
        <f>SUM(G497:G498)</f>
        <v>34.58</v>
      </c>
      <c r="H499" s="304"/>
    </row>
    <row r="500" spans="1:9">
      <c r="A500" s="305"/>
      <c r="B500" s="306"/>
      <c r="C500" s="307"/>
      <c r="D500" s="308"/>
      <c r="E500" s="305"/>
      <c r="F500" s="306"/>
      <c r="G500" s="306"/>
      <c r="H500" s="306"/>
      <c r="I500" s="305"/>
    </row>
    <row r="501" spans="1:9">
      <c r="B501" s="385"/>
      <c r="C501" s="124"/>
      <c r="D501" s="122"/>
      <c r="E501" s="128"/>
      <c r="H501" s="122"/>
    </row>
    <row r="502" spans="1:9">
      <c r="A502" s="826" t="s">
        <v>2710</v>
      </c>
    </row>
    <row r="503" spans="1:9">
      <c r="A503" s="122" t="s">
        <v>1195</v>
      </c>
      <c r="B503" s="149" t="s">
        <v>2505</v>
      </c>
      <c r="C503" s="123"/>
    </row>
    <row r="504" spans="1:9" ht="24" customHeight="1">
      <c r="A504" s="122" t="s">
        <v>76</v>
      </c>
      <c r="B504" s="1161" t="s">
        <v>2504</v>
      </c>
      <c r="C504" s="1161"/>
      <c r="D504" s="1161"/>
      <c r="E504" s="150" t="s">
        <v>383</v>
      </c>
      <c r="F504" s="289"/>
      <c r="G504" s="289"/>
    </row>
    <row r="505" spans="1:9" ht="20.399999999999999">
      <c r="A505" s="291" t="s">
        <v>30</v>
      </c>
      <c r="B505" s="292" t="s">
        <v>19</v>
      </c>
      <c r="C505" s="293" t="s">
        <v>81</v>
      </c>
      <c r="D505" s="293" t="s">
        <v>77</v>
      </c>
      <c r="E505" s="294" t="s">
        <v>82</v>
      </c>
      <c r="F505" s="295" t="s">
        <v>83</v>
      </c>
      <c r="G505" s="296" t="s">
        <v>84</v>
      </c>
    </row>
    <row r="506" spans="1:9">
      <c r="A506" s="309">
        <v>10489</v>
      </c>
      <c r="B506" s="297" t="s">
        <v>2506</v>
      </c>
      <c r="C506" s="295" t="s">
        <v>104</v>
      </c>
      <c r="D506" s="293" t="s">
        <v>383</v>
      </c>
      <c r="E506" s="294">
        <v>1.1900000000000001E-2</v>
      </c>
      <c r="F506" s="825">
        <v>14.17</v>
      </c>
      <c r="G506" s="312">
        <f>TRUNC(E506*F506,2)</f>
        <v>0.16</v>
      </c>
    </row>
    <row r="507" spans="1:9">
      <c r="D507" s="299"/>
      <c r="E507" s="300"/>
      <c r="F507" s="301" t="s">
        <v>90</v>
      </c>
      <c r="G507" s="312">
        <f>G506</f>
        <v>0.16</v>
      </c>
    </row>
    <row r="508" spans="1:9">
      <c r="D508" s="299"/>
      <c r="E508" s="300"/>
      <c r="F508" s="301" t="s">
        <v>92</v>
      </c>
      <c r="G508" s="312"/>
    </row>
    <row r="509" spans="1:9">
      <c r="A509" s="302"/>
      <c r="D509" s="299"/>
      <c r="E509" s="300"/>
      <c r="F509" s="301" t="s">
        <v>93</v>
      </c>
      <c r="G509" s="820">
        <f>SUM(G507:G508)</f>
        <v>0.16</v>
      </c>
      <c r="H509" s="304"/>
    </row>
    <row r="510" spans="1:9">
      <c r="A510" s="305"/>
      <c r="B510" s="306"/>
      <c r="C510" s="307"/>
      <c r="D510" s="308"/>
      <c r="E510" s="305"/>
      <c r="F510" s="306"/>
      <c r="G510" s="306"/>
      <c r="H510" s="306"/>
    </row>
    <row r="511" spans="1:9">
      <c r="B511" s="385"/>
      <c r="C511" s="124"/>
      <c r="D511" s="122"/>
      <c r="E511" s="128"/>
      <c r="H511" s="122"/>
    </row>
    <row r="512" spans="1:9">
      <c r="A512" s="826" t="s">
        <v>2710</v>
      </c>
    </row>
    <row r="513" spans="1:8">
      <c r="A513" s="122" t="s">
        <v>1195</v>
      </c>
      <c r="B513" s="149" t="s">
        <v>2167</v>
      </c>
      <c r="C513" s="123"/>
    </row>
    <row r="514" spans="1:8" ht="23.25" customHeight="1">
      <c r="A514" s="122" t="s">
        <v>76</v>
      </c>
      <c r="B514" s="1161" t="s">
        <v>2166</v>
      </c>
      <c r="C514" s="1161"/>
      <c r="D514" s="1161"/>
      <c r="E514" s="150" t="s">
        <v>383</v>
      </c>
      <c r="F514" s="289"/>
      <c r="G514" s="289"/>
    </row>
    <row r="515" spans="1:8" ht="20.399999999999999">
      <c r="A515" s="291" t="s">
        <v>30</v>
      </c>
      <c r="B515" s="292" t="s">
        <v>19</v>
      </c>
      <c r="C515" s="293" t="s">
        <v>81</v>
      </c>
      <c r="D515" s="293" t="s">
        <v>77</v>
      </c>
      <c r="E515" s="294" t="s">
        <v>82</v>
      </c>
      <c r="F515" s="295" t="s">
        <v>83</v>
      </c>
      <c r="G515" s="296" t="s">
        <v>84</v>
      </c>
    </row>
    <row r="516" spans="1:8" ht="14.1" customHeight="1">
      <c r="A516" s="309">
        <v>244</v>
      </c>
      <c r="B516" s="297" t="s">
        <v>2168</v>
      </c>
      <c r="C516" s="295" t="s">
        <v>104</v>
      </c>
      <c r="D516" s="293" t="s">
        <v>383</v>
      </c>
      <c r="E516" s="294">
        <v>6.7000000000000002E-3</v>
      </c>
      <c r="F516" s="298">
        <f>5.84</f>
        <v>5.84</v>
      </c>
      <c r="G516" s="312">
        <f>TRUNC(E516*F516,2)</f>
        <v>0.03</v>
      </c>
    </row>
    <row r="517" spans="1:8" ht="14.1" customHeight="1">
      <c r="D517" s="299"/>
      <c r="E517" s="300"/>
      <c r="F517" s="301" t="s">
        <v>90</v>
      </c>
      <c r="G517" s="312">
        <f>G516</f>
        <v>0.03</v>
      </c>
    </row>
    <row r="518" spans="1:8" ht="14.1" customHeight="1">
      <c r="D518" s="299"/>
      <c r="E518" s="300"/>
      <c r="F518" s="301" t="s">
        <v>92</v>
      </c>
      <c r="G518" s="312"/>
    </row>
    <row r="519" spans="1:8" ht="14.1" customHeight="1">
      <c r="A519" s="302"/>
      <c r="D519" s="299"/>
      <c r="E519" s="300"/>
      <c r="F519" s="301" t="s">
        <v>93</v>
      </c>
      <c r="G519" s="820">
        <f>SUM(G517:G518)</f>
        <v>0.03</v>
      </c>
      <c r="H519" s="304"/>
    </row>
    <row r="520" spans="1:8">
      <c r="A520" s="305"/>
      <c r="B520" s="306"/>
      <c r="C520" s="307"/>
      <c r="D520" s="308"/>
      <c r="E520" s="305"/>
      <c r="F520" s="306"/>
      <c r="G520" s="306"/>
      <c r="H520" s="306"/>
    </row>
    <row r="521" spans="1:8">
      <c r="B521" s="385"/>
      <c r="C521" s="124"/>
      <c r="D521" s="122"/>
      <c r="E521" s="128"/>
      <c r="H521" s="122"/>
    </row>
    <row r="522" spans="1:8">
      <c r="A522" s="122" t="s">
        <v>1194</v>
      </c>
    </row>
    <row r="523" spans="1:8">
      <c r="A523" s="122" t="s">
        <v>1195</v>
      </c>
      <c r="B523" s="149" t="s">
        <v>2171</v>
      </c>
      <c r="C523" s="123"/>
    </row>
    <row r="524" spans="1:8" ht="22.5" customHeight="1">
      <c r="A524" s="122" t="s">
        <v>76</v>
      </c>
      <c r="B524" s="1161" t="s">
        <v>2170</v>
      </c>
      <c r="C524" s="1161"/>
      <c r="D524" s="1161"/>
      <c r="E524" s="150" t="s">
        <v>383</v>
      </c>
      <c r="F524" s="289"/>
      <c r="G524" s="289"/>
    </row>
    <row r="525" spans="1:8" ht="20.399999999999999">
      <c r="A525" s="291" t="s">
        <v>30</v>
      </c>
      <c r="B525" s="292" t="s">
        <v>19</v>
      </c>
      <c r="C525" s="293" t="s">
        <v>81</v>
      </c>
      <c r="D525" s="293" t="s">
        <v>77</v>
      </c>
      <c r="E525" s="294" t="s">
        <v>82</v>
      </c>
      <c r="F525" s="295" t="s">
        <v>83</v>
      </c>
      <c r="G525" s="296" t="s">
        <v>84</v>
      </c>
    </row>
    <row r="526" spans="1:8" ht="15" customHeight="1">
      <c r="A526" s="309">
        <v>7595</v>
      </c>
      <c r="B526" s="297" t="s">
        <v>2172</v>
      </c>
      <c r="C526" s="295" t="s">
        <v>104</v>
      </c>
      <c r="D526" s="293" t="s">
        <v>383</v>
      </c>
      <c r="E526" s="294">
        <v>6.7000000000000002E-3</v>
      </c>
      <c r="F526" s="298">
        <f>7.54</f>
        <v>7.54</v>
      </c>
      <c r="G526" s="312">
        <f>TRUNC(E526*F526,2)</f>
        <v>0.05</v>
      </c>
    </row>
    <row r="527" spans="1:8" ht="15" customHeight="1">
      <c r="D527" s="299"/>
      <c r="E527" s="300"/>
      <c r="F527" s="301" t="s">
        <v>90</v>
      </c>
      <c r="G527" s="312">
        <f>G526</f>
        <v>0.05</v>
      </c>
    </row>
    <row r="528" spans="1:8" ht="15" customHeight="1">
      <c r="D528" s="299"/>
      <c r="E528" s="300"/>
      <c r="F528" s="301" t="s">
        <v>92</v>
      </c>
      <c r="G528" s="312"/>
    </row>
    <row r="529" spans="1:8" ht="15" customHeight="1">
      <c r="A529" s="302"/>
      <c r="D529" s="299"/>
      <c r="E529" s="300"/>
      <c r="F529" s="301" t="s">
        <v>93</v>
      </c>
      <c r="G529" s="313">
        <f>SUM(G527:G528)</f>
        <v>0.05</v>
      </c>
      <c r="H529" s="304"/>
    </row>
    <row r="530" spans="1:8">
      <c r="A530" s="305"/>
      <c r="B530" s="306"/>
      <c r="C530" s="307"/>
      <c r="D530" s="308"/>
      <c r="E530" s="305"/>
      <c r="F530" s="306"/>
      <c r="G530" s="306"/>
      <c r="H530" s="306"/>
    </row>
    <row r="531" spans="1:8">
      <c r="B531" s="385"/>
      <c r="C531" s="124"/>
      <c r="D531" s="122"/>
      <c r="E531" s="128"/>
      <c r="H531" s="122"/>
    </row>
    <row r="532" spans="1:8">
      <c r="A532" s="122" t="s">
        <v>1194</v>
      </c>
    </row>
    <row r="533" spans="1:8">
      <c r="A533" s="122" t="s">
        <v>1195</v>
      </c>
      <c r="B533" s="149" t="s">
        <v>1811</v>
      </c>
      <c r="C533" s="123"/>
    </row>
    <row r="534" spans="1:8" ht="26.25" customHeight="1">
      <c r="A534" s="122" t="s">
        <v>76</v>
      </c>
      <c r="B534" s="1161" t="s">
        <v>1810</v>
      </c>
      <c r="C534" s="1161"/>
      <c r="D534" s="1161"/>
      <c r="E534" s="150" t="s">
        <v>383</v>
      </c>
      <c r="F534" s="289"/>
      <c r="G534" s="289"/>
    </row>
    <row r="535" spans="1:8" ht="20.399999999999999">
      <c r="A535" s="291" t="s">
        <v>30</v>
      </c>
      <c r="B535" s="292" t="s">
        <v>19</v>
      </c>
      <c r="C535" s="293" t="s">
        <v>81</v>
      </c>
      <c r="D535" s="293" t="s">
        <v>77</v>
      </c>
      <c r="E535" s="294" t="s">
        <v>82</v>
      </c>
      <c r="F535" s="295" t="s">
        <v>83</v>
      </c>
      <c r="G535" s="296" t="s">
        <v>84</v>
      </c>
    </row>
    <row r="536" spans="1:8" ht="13.5" customHeight="1">
      <c r="A536" s="309">
        <v>4755</v>
      </c>
      <c r="B536" s="297" t="s">
        <v>1809</v>
      </c>
      <c r="C536" s="295" t="s">
        <v>104</v>
      </c>
      <c r="D536" s="293" t="s">
        <v>383</v>
      </c>
      <c r="E536" s="294">
        <v>1.1900000000000001E-2</v>
      </c>
      <c r="F536" s="298">
        <f>15.01</f>
        <v>15.01</v>
      </c>
      <c r="G536" s="312">
        <f>TRUNC(E536*F536,2)</f>
        <v>0.17</v>
      </c>
    </row>
    <row r="537" spans="1:8">
      <c r="D537" s="299"/>
      <c r="E537" s="300"/>
      <c r="F537" s="301" t="s">
        <v>90</v>
      </c>
      <c r="G537" s="312">
        <f>G536</f>
        <v>0.17</v>
      </c>
    </row>
    <row r="538" spans="1:8">
      <c r="D538" s="299"/>
      <c r="E538" s="300"/>
      <c r="F538" s="301" t="s">
        <v>92</v>
      </c>
      <c r="G538" s="312"/>
    </row>
    <row r="539" spans="1:8">
      <c r="A539" s="302"/>
      <c r="D539" s="299"/>
      <c r="E539" s="300"/>
      <c r="F539" s="301" t="s">
        <v>93</v>
      </c>
      <c r="G539" s="313">
        <f>SUM(G537:G538)</f>
        <v>0.17</v>
      </c>
      <c r="H539" s="304"/>
    </row>
    <row r="540" spans="1:8">
      <c r="A540" s="305"/>
      <c r="B540" s="306"/>
      <c r="C540" s="307"/>
      <c r="D540" s="308"/>
      <c r="E540" s="305"/>
      <c r="F540" s="306"/>
      <c r="G540" s="306"/>
      <c r="H540" s="306"/>
    </row>
    <row r="541" spans="1:8">
      <c r="B541" s="385"/>
      <c r="C541" s="124"/>
      <c r="D541" s="122"/>
      <c r="E541" s="128"/>
      <c r="H541" s="122"/>
    </row>
    <row r="542" spans="1:8" ht="15" customHeight="1">
      <c r="A542" s="122" t="s">
        <v>1194</v>
      </c>
    </row>
    <row r="543" spans="1:8" ht="15" customHeight="1">
      <c r="A543" s="122" t="s">
        <v>1195</v>
      </c>
      <c r="B543" s="149" t="s">
        <v>1237</v>
      </c>
      <c r="C543" s="123"/>
    </row>
    <row r="544" spans="1:8" ht="27" customHeight="1">
      <c r="A544" s="122" t="s">
        <v>76</v>
      </c>
      <c r="B544" s="290" t="s">
        <v>1238</v>
      </c>
      <c r="C544" s="150" t="s">
        <v>383</v>
      </c>
      <c r="E544" s="289" t="s">
        <v>2</v>
      </c>
      <c r="F544" s="289"/>
      <c r="G544" s="289"/>
    </row>
    <row r="545" spans="1:9" ht="20.399999999999999">
      <c r="A545" s="291" t="s">
        <v>30</v>
      </c>
      <c r="B545" s="292" t="s">
        <v>19</v>
      </c>
      <c r="C545" s="293" t="s">
        <v>81</v>
      </c>
      <c r="D545" s="293" t="s">
        <v>77</v>
      </c>
      <c r="E545" s="294" t="s">
        <v>82</v>
      </c>
      <c r="F545" s="295" t="s">
        <v>83</v>
      </c>
      <c r="G545" s="296" t="s">
        <v>84</v>
      </c>
    </row>
    <row r="546" spans="1:9" ht="15" customHeight="1">
      <c r="A546" s="291" t="s">
        <v>1239</v>
      </c>
      <c r="B546" s="297" t="s">
        <v>1240</v>
      </c>
      <c r="C546" s="295" t="s">
        <v>104</v>
      </c>
      <c r="D546" s="293" t="s">
        <v>383</v>
      </c>
      <c r="E546" s="294" t="s">
        <v>1225</v>
      </c>
      <c r="F546" s="298">
        <f>10.6</f>
        <v>10.6</v>
      </c>
      <c r="G546" s="296">
        <f>TRUNC(E546*F546,2)</f>
        <v>0.14000000000000001</v>
      </c>
    </row>
    <row r="547" spans="1:9" ht="15" customHeight="1">
      <c r="D547" s="299"/>
      <c r="E547" s="300"/>
      <c r="F547" s="301" t="s">
        <v>90</v>
      </c>
      <c r="G547" s="296">
        <f>G546</f>
        <v>0.14000000000000001</v>
      </c>
    </row>
    <row r="548" spans="1:9" ht="15" customHeight="1">
      <c r="D548" s="299"/>
      <c r="E548" s="300"/>
      <c r="F548" s="301" t="s">
        <v>92</v>
      </c>
      <c r="G548" s="296"/>
    </row>
    <row r="549" spans="1:9" ht="15" customHeight="1">
      <c r="A549" s="302"/>
      <c r="D549" s="299"/>
      <c r="E549" s="300"/>
      <c r="F549" s="301" t="s">
        <v>93</v>
      </c>
      <c r="G549" s="303">
        <f>SUM(G547:G548)</f>
        <v>0.14000000000000001</v>
      </c>
      <c r="H549" s="304"/>
    </row>
    <row r="550" spans="1:9">
      <c r="A550" s="305"/>
      <c r="B550" s="306"/>
      <c r="C550" s="307"/>
      <c r="D550" s="308"/>
      <c r="E550" s="305"/>
      <c r="F550" s="306"/>
      <c r="G550" s="306"/>
      <c r="H550" s="306"/>
      <c r="I550" s="305"/>
    </row>
    <row r="552" spans="1:9">
      <c r="A552" s="122" t="s">
        <v>1194</v>
      </c>
    </row>
    <row r="553" spans="1:9">
      <c r="A553" s="122" t="s">
        <v>1195</v>
      </c>
      <c r="B553" s="149" t="s">
        <v>2375</v>
      </c>
      <c r="C553" s="123"/>
    </row>
    <row r="554" spans="1:9" ht="11.25" customHeight="1">
      <c r="A554" s="122" t="s">
        <v>76</v>
      </c>
      <c r="B554" s="1161" t="s">
        <v>1810</v>
      </c>
      <c r="C554" s="1161"/>
      <c r="D554" s="1161"/>
      <c r="E554" s="150" t="s">
        <v>383</v>
      </c>
      <c r="F554" s="289"/>
      <c r="G554" s="289"/>
    </row>
    <row r="555" spans="1:9" ht="20.399999999999999">
      <c r="A555" s="291" t="s">
        <v>30</v>
      </c>
      <c r="B555" s="292" t="s">
        <v>19</v>
      </c>
      <c r="C555" s="293" t="s">
        <v>81</v>
      </c>
      <c r="D555" s="293" t="s">
        <v>77</v>
      </c>
      <c r="E555" s="294" t="s">
        <v>82</v>
      </c>
      <c r="F555" s="295" t="s">
        <v>83</v>
      </c>
      <c r="G555" s="296" t="s">
        <v>84</v>
      </c>
    </row>
    <row r="556" spans="1:9">
      <c r="A556" s="309" t="s">
        <v>2376</v>
      </c>
      <c r="B556" s="297" t="s">
        <v>2373</v>
      </c>
      <c r="C556" s="295" t="s">
        <v>104</v>
      </c>
      <c r="D556" s="293" t="s">
        <v>383</v>
      </c>
      <c r="E556" s="294">
        <v>1.1900000000000001E-2</v>
      </c>
      <c r="F556" s="298">
        <f>10.9</f>
        <v>10.9</v>
      </c>
      <c r="G556" s="312">
        <f>TRUNC(E556*F556,2)</f>
        <v>0.12</v>
      </c>
    </row>
    <row r="557" spans="1:9">
      <c r="D557" s="299"/>
      <c r="E557" s="300"/>
      <c r="F557" s="301" t="s">
        <v>90</v>
      </c>
      <c r="G557" s="312">
        <f>G556</f>
        <v>0.12</v>
      </c>
    </row>
    <row r="558" spans="1:9">
      <c r="D558" s="299"/>
      <c r="E558" s="300"/>
      <c r="F558" s="301" t="s">
        <v>92</v>
      </c>
      <c r="G558" s="312"/>
    </row>
    <row r="559" spans="1:9">
      <c r="A559" s="302"/>
      <c r="D559" s="299"/>
      <c r="E559" s="300"/>
      <c r="F559" s="301" t="s">
        <v>93</v>
      </c>
      <c r="G559" s="313">
        <f>SUM(G557:G558)</f>
        <v>0.12</v>
      </c>
      <c r="H559" s="304"/>
    </row>
    <row r="560" spans="1:9">
      <c r="A560" s="305"/>
      <c r="B560" s="306"/>
      <c r="C560" s="307"/>
      <c r="D560" s="308"/>
      <c r="E560" s="305"/>
      <c r="F560" s="306"/>
      <c r="G560" s="306"/>
      <c r="H560" s="306"/>
    </row>
    <row r="562" spans="1:8">
      <c r="A562" s="122" t="s">
        <v>1194</v>
      </c>
    </row>
    <row r="563" spans="1:8">
      <c r="A563" s="122" t="s">
        <v>1195</v>
      </c>
      <c r="B563" s="149" t="s">
        <v>1789</v>
      </c>
      <c r="C563" s="123"/>
    </row>
    <row r="564" spans="1:8" ht="20.399999999999999">
      <c r="A564" s="122" t="s">
        <v>76</v>
      </c>
      <c r="B564" s="290" t="s">
        <v>1788</v>
      </c>
      <c r="C564" s="150" t="s">
        <v>383</v>
      </c>
      <c r="E564" s="289" t="s">
        <v>2</v>
      </c>
      <c r="F564" s="289"/>
      <c r="G564" s="289"/>
    </row>
    <row r="565" spans="1:8" ht="20.399999999999999">
      <c r="A565" s="291" t="s">
        <v>30</v>
      </c>
      <c r="B565" s="292" t="s">
        <v>19</v>
      </c>
      <c r="C565" s="293" t="s">
        <v>81</v>
      </c>
      <c r="D565" s="293" t="s">
        <v>77</v>
      </c>
      <c r="E565" s="294" t="s">
        <v>82</v>
      </c>
      <c r="F565" s="295" t="s">
        <v>83</v>
      </c>
      <c r="G565" s="296" t="s">
        <v>84</v>
      </c>
    </row>
    <row r="566" spans="1:8" ht="15" customHeight="1">
      <c r="A566" s="309">
        <v>12873</v>
      </c>
      <c r="B566" s="297" t="s">
        <v>1787</v>
      </c>
      <c r="C566" s="295" t="s">
        <v>104</v>
      </c>
      <c r="D566" s="293" t="s">
        <v>383</v>
      </c>
      <c r="E566" s="294">
        <v>1.7100000000000001E-2</v>
      </c>
      <c r="F566" s="298">
        <f>15.56</f>
        <v>15.56</v>
      </c>
      <c r="G566" s="296">
        <f>TRUNC(E566*F566,2)</f>
        <v>0.26</v>
      </c>
    </row>
    <row r="567" spans="1:8" ht="15" customHeight="1">
      <c r="D567" s="299"/>
      <c r="E567" s="300"/>
      <c r="F567" s="301" t="s">
        <v>90</v>
      </c>
      <c r="G567" s="296">
        <f>G566</f>
        <v>0.26</v>
      </c>
    </row>
    <row r="568" spans="1:8" ht="15" customHeight="1">
      <c r="D568" s="299"/>
      <c r="E568" s="300"/>
      <c r="F568" s="301" t="s">
        <v>92</v>
      </c>
      <c r="G568" s="296"/>
    </row>
    <row r="569" spans="1:8" ht="15" customHeight="1">
      <c r="A569" s="302"/>
      <c r="D569" s="299"/>
      <c r="E569" s="300"/>
      <c r="F569" s="301" t="s">
        <v>93</v>
      </c>
      <c r="G569" s="303">
        <f>SUM(G567:G568)</f>
        <v>0.26</v>
      </c>
      <c r="H569" s="304"/>
    </row>
    <row r="570" spans="1:8">
      <c r="A570" s="305"/>
      <c r="B570" s="306"/>
      <c r="C570" s="307"/>
      <c r="D570" s="308"/>
      <c r="E570" s="305"/>
      <c r="F570" s="306"/>
      <c r="G570" s="306"/>
      <c r="H570" s="306"/>
    </row>
    <row r="572" spans="1:8" ht="15" customHeight="1">
      <c r="A572" s="122" t="s">
        <v>1194</v>
      </c>
    </row>
    <row r="573" spans="1:8" ht="15" customHeight="1">
      <c r="A573" s="122" t="s">
        <v>1195</v>
      </c>
      <c r="B573" s="149" t="s">
        <v>1241</v>
      </c>
      <c r="C573" s="123"/>
    </row>
    <row r="574" spans="1:8" ht="20.399999999999999">
      <c r="A574" s="122" t="s">
        <v>76</v>
      </c>
      <c r="B574" s="290" t="s">
        <v>1242</v>
      </c>
      <c r="C574" s="150" t="s">
        <v>383</v>
      </c>
      <c r="E574" s="289" t="s">
        <v>2</v>
      </c>
      <c r="F574" s="289"/>
      <c r="G574" s="289"/>
    </row>
    <row r="575" spans="1:8" ht="20.399999999999999">
      <c r="A575" s="291" t="s">
        <v>30</v>
      </c>
      <c r="B575" s="292" t="s">
        <v>19</v>
      </c>
      <c r="C575" s="293" t="s">
        <v>81</v>
      </c>
      <c r="D575" s="293" t="s">
        <v>77</v>
      </c>
      <c r="E575" s="294" t="s">
        <v>82</v>
      </c>
      <c r="F575" s="295" t="s">
        <v>83</v>
      </c>
      <c r="G575" s="296" t="s">
        <v>84</v>
      </c>
    </row>
    <row r="576" spans="1:8" ht="15" customHeight="1">
      <c r="A576" s="309">
        <v>6111</v>
      </c>
      <c r="B576" s="297" t="s">
        <v>1243</v>
      </c>
      <c r="C576" s="295" t="s">
        <v>104</v>
      </c>
      <c r="D576" s="293" t="s">
        <v>383</v>
      </c>
      <c r="E576" s="294">
        <v>1.7100000000000001E-2</v>
      </c>
      <c r="F576" s="298">
        <f>10.92</f>
        <v>10.92</v>
      </c>
      <c r="G576" s="296">
        <f>TRUNC(E576*F576,2)</f>
        <v>0.18</v>
      </c>
    </row>
    <row r="577" spans="1:9" ht="15" customHeight="1">
      <c r="D577" s="299"/>
      <c r="E577" s="300"/>
      <c r="F577" s="301" t="s">
        <v>90</v>
      </c>
      <c r="G577" s="296">
        <f>G576</f>
        <v>0.18</v>
      </c>
    </row>
    <row r="578" spans="1:9" ht="15" customHeight="1">
      <c r="D578" s="299"/>
      <c r="E578" s="300"/>
      <c r="F578" s="301" t="s">
        <v>92</v>
      </c>
      <c r="G578" s="296"/>
    </row>
    <row r="579" spans="1:9" ht="15" customHeight="1">
      <c r="A579" s="302"/>
      <c r="D579" s="299"/>
      <c r="E579" s="300"/>
      <c r="F579" s="301" t="s">
        <v>93</v>
      </c>
      <c r="G579" s="303">
        <f>SUM(G577:G578)</f>
        <v>0.18</v>
      </c>
      <c r="H579" s="304"/>
    </row>
    <row r="580" spans="1:9">
      <c r="A580" s="305"/>
      <c r="B580" s="306"/>
      <c r="C580" s="307"/>
      <c r="D580" s="308"/>
      <c r="E580" s="305"/>
      <c r="F580" s="306"/>
      <c r="G580" s="306"/>
      <c r="H580" s="306"/>
      <c r="I580" s="305"/>
    </row>
    <row r="582" spans="1:9">
      <c r="A582" s="122" t="s">
        <v>1194</v>
      </c>
    </row>
    <row r="583" spans="1:9">
      <c r="A583" s="122" t="s">
        <v>1195</v>
      </c>
      <c r="B583" s="149" t="s">
        <v>1244</v>
      </c>
      <c r="C583" s="123"/>
    </row>
    <row r="584" spans="1:9" ht="30" customHeight="1">
      <c r="A584" s="122" t="s">
        <v>76</v>
      </c>
      <c r="B584" s="1161" t="s">
        <v>1475</v>
      </c>
      <c r="C584" s="1161"/>
      <c r="D584" s="150" t="s">
        <v>383</v>
      </c>
      <c r="E584" s="289" t="s">
        <v>2</v>
      </c>
      <c r="F584" s="289"/>
      <c r="G584" s="289"/>
    </row>
    <row r="585" spans="1:9" ht="20.399999999999999">
      <c r="A585" s="291" t="s">
        <v>30</v>
      </c>
      <c r="B585" s="292" t="s">
        <v>19</v>
      </c>
      <c r="C585" s="293" t="s">
        <v>81</v>
      </c>
      <c r="D585" s="293" t="s">
        <v>77</v>
      </c>
      <c r="E585" s="294" t="s">
        <v>82</v>
      </c>
      <c r="F585" s="295" t="s">
        <v>83</v>
      </c>
      <c r="G585" s="296" t="s">
        <v>84</v>
      </c>
    </row>
    <row r="586" spans="1:9" ht="15" customHeight="1">
      <c r="A586" s="309">
        <v>4094</v>
      </c>
      <c r="B586" s="297" t="s">
        <v>1245</v>
      </c>
      <c r="C586" s="295" t="s">
        <v>104</v>
      </c>
      <c r="D586" s="293" t="s">
        <v>383</v>
      </c>
      <c r="E586" s="294">
        <v>4.1000000000000003E-3</v>
      </c>
      <c r="F586" s="298">
        <f>16.13</f>
        <v>16.13</v>
      </c>
      <c r="G586" s="296">
        <f>TRUNC(E586*F586,2)</f>
        <v>0.06</v>
      </c>
    </row>
    <row r="587" spans="1:9" ht="15" customHeight="1">
      <c r="D587" s="299"/>
      <c r="E587" s="300"/>
      <c r="F587" s="301" t="s">
        <v>90</v>
      </c>
      <c r="G587" s="296">
        <f>G586</f>
        <v>0.06</v>
      </c>
    </row>
    <row r="588" spans="1:9" ht="15" customHeight="1">
      <c r="D588" s="299"/>
      <c r="E588" s="300"/>
      <c r="F588" s="301" t="s">
        <v>92</v>
      </c>
      <c r="G588" s="296"/>
    </row>
    <row r="589" spans="1:9" ht="15" customHeight="1">
      <c r="A589" s="302"/>
      <c r="D589" s="299"/>
      <c r="E589" s="300"/>
      <c r="F589" s="301" t="s">
        <v>93</v>
      </c>
      <c r="G589" s="303">
        <f>SUM(G587:G588)</f>
        <v>0.06</v>
      </c>
      <c r="H589" s="304"/>
    </row>
    <row r="590" spans="1:9">
      <c r="A590" s="305"/>
      <c r="B590" s="306"/>
      <c r="C590" s="307"/>
      <c r="D590" s="308"/>
      <c r="E590" s="305"/>
      <c r="F590" s="306"/>
      <c r="G590" s="306"/>
      <c r="H590" s="306"/>
      <c r="I590" s="305"/>
    </row>
    <row r="592" spans="1:9" ht="15" customHeight="1">
      <c r="A592" s="122" t="s">
        <v>1194</v>
      </c>
    </row>
    <row r="593" spans="1:9" ht="15" customHeight="1">
      <c r="A593" s="122" t="s">
        <v>1195</v>
      </c>
      <c r="B593" s="149" t="s">
        <v>1246</v>
      </c>
      <c r="C593" s="123"/>
    </row>
    <row r="594" spans="1:9" ht="20.399999999999999">
      <c r="A594" s="122" t="s">
        <v>76</v>
      </c>
      <c r="B594" s="290" t="s">
        <v>1247</v>
      </c>
      <c r="C594" s="150" t="s">
        <v>383</v>
      </c>
      <c r="E594" s="289" t="s">
        <v>2</v>
      </c>
      <c r="F594" s="289"/>
      <c r="G594" s="289"/>
    </row>
    <row r="595" spans="1:9" ht="20.399999999999999">
      <c r="A595" s="291" t="s">
        <v>30</v>
      </c>
      <c r="B595" s="292" t="s">
        <v>19</v>
      </c>
      <c r="C595" s="293" t="s">
        <v>81</v>
      </c>
      <c r="D595" s="293" t="s">
        <v>77</v>
      </c>
      <c r="E595" s="294" t="s">
        <v>82</v>
      </c>
      <c r="F595" s="295" t="s">
        <v>83</v>
      </c>
      <c r="G595" s="296" t="s">
        <v>84</v>
      </c>
    </row>
    <row r="596" spans="1:9" ht="15" customHeight="1">
      <c r="A596" s="309">
        <v>20020</v>
      </c>
      <c r="B596" s="297" t="s">
        <v>1248</v>
      </c>
      <c r="C596" s="295" t="s">
        <v>104</v>
      </c>
      <c r="D596" s="293" t="s">
        <v>383</v>
      </c>
      <c r="E596" s="294">
        <v>4.1000000000000003E-3</v>
      </c>
      <c r="F596" s="298">
        <f>11.38</f>
        <v>11.38</v>
      </c>
      <c r="G596" s="296">
        <f>TRUNC(E596*F596,2)</f>
        <v>0.04</v>
      </c>
    </row>
    <row r="597" spans="1:9" ht="15" customHeight="1">
      <c r="D597" s="299"/>
      <c r="E597" s="300"/>
      <c r="F597" s="301" t="s">
        <v>90</v>
      </c>
      <c r="G597" s="296">
        <f>G596</f>
        <v>0.04</v>
      </c>
    </row>
    <row r="598" spans="1:9" ht="15" customHeight="1">
      <c r="D598" s="299"/>
      <c r="E598" s="300"/>
      <c r="F598" s="301" t="s">
        <v>92</v>
      </c>
      <c r="G598" s="296"/>
    </row>
    <row r="599" spans="1:9" ht="15" customHeight="1">
      <c r="A599" s="302"/>
      <c r="D599" s="299"/>
      <c r="E599" s="300"/>
      <c r="F599" s="301" t="s">
        <v>93</v>
      </c>
      <c r="G599" s="303">
        <f>SUM(G597:G598)</f>
        <v>0.04</v>
      </c>
      <c r="H599" s="304"/>
    </row>
    <row r="600" spans="1:9">
      <c r="A600" s="305"/>
      <c r="B600" s="306"/>
      <c r="C600" s="307"/>
      <c r="D600" s="308"/>
      <c r="E600" s="305"/>
      <c r="F600" s="306"/>
      <c r="G600" s="306"/>
      <c r="H600" s="306"/>
      <c r="I600" s="305"/>
    </row>
    <row r="602" spans="1:9" ht="15" customHeight="1">
      <c r="A602" s="122" t="s">
        <v>1194</v>
      </c>
    </row>
    <row r="603" spans="1:9" ht="15" customHeight="1">
      <c r="A603" s="122" t="s">
        <v>1195</v>
      </c>
      <c r="B603" s="149" t="s">
        <v>1249</v>
      </c>
      <c r="C603" s="123"/>
    </row>
    <row r="604" spans="1:9" ht="30" customHeight="1">
      <c r="A604" s="122" t="s">
        <v>76</v>
      </c>
      <c r="B604" s="290" t="s">
        <v>1250</v>
      </c>
      <c r="C604" s="150" t="s">
        <v>383</v>
      </c>
      <c r="E604" s="289" t="s">
        <v>2</v>
      </c>
      <c r="F604" s="289"/>
      <c r="G604" s="289"/>
    </row>
    <row r="605" spans="1:9" ht="20.399999999999999">
      <c r="A605" s="291" t="s">
        <v>30</v>
      </c>
      <c r="B605" s="292" t="s">
        <v>19</v>
      </c>
      <c r="C605" s="293" t="s">
        <v>81</v>
      </c>
      <c r="D605" s="293" t="s">
        <v>77</v>
      </c>
      <c r="E605" s="294" t="s">
        <v>82</v>
      </c>
      <c r="F605" s="295" t="s">
        <v>83</v>
      </c>
      <c r="G605" s="296" t="s">
        <v>84</v>
      </c>
    </row>
    <row r="606" spans="1:9" ht="15" customHeight="1">
      <c r="A606" s="309">
        <v>1213</v>
      </c>
      <c r="B606" s="297" t="s">
        <v>1251</v>
      </c>
      <c r="C606" s="295" t="s">
        <v>104</v>
      </c>
      <c r="D606" s="293" t="s">
        <v>383</v>
      </c>
      <c r="E606" s="294">
        <v>9.2999999999999992E-3</v>
      </c>
      <c r="F606" s="298">
        <f>14.68</f>
        <v>14.68</v>
      </c>
      <c r="G606" s="296">
        <f>TRUNC(E606*F606,2)</f>
        <v>0.13</v>
      </c>
    </row>
    <row r="607" spans="1:9" ht="15" customHeight="1">
      <c r="D607" s="299"/>
      <c r="E607" s="300"/>
      <c r="F607" s="301" t="s">
        <v>90</v>
      </c>
      <c r="G607" s="296">
        <f>G606</f>
        <v>0.13</v>
      </c>
    </row>
    <row r="608" spans="1:9" ht="15" customHeight="1">
      <c r="D608" s="299"/>
      <c r="E608" s="300"/>
      <c r="F608" s="301" t="s">
        <v>92</v>
      </c>
      <c r="G608" s="296"/>
    </row>
    <row r="609" spans="1:9" ht="15" customHeight="1">
      <c r="A609" s="302"/>
      <c r="D609" s="299"/>
      <c r="E609" s="300"/>
      <c r="F609" s="301" t="s">
        <v>93</v>
      </c>
      <c r="G609" s="303">
        <f>SUM(G607:G608)</f>
        <v>0.13</v>
      </c>
      <c r="H609" s="304"/>
    </row>
    <row r="610" spans="1:9">
      <c r="A610" s="305"/>
      <c r="B610" s="306"/>
      <c r="C610" s="307"/>
      <c r="D610" s="308"/>
      <c r="E610" s="305"/>
      <c r="F610" s="306"/>
      <c r="G610" s="306"/>
      <c r="H610" s="306"/>
      <c r="I610" s="305"/>
    </row>
    <row r="612" spans="1:9">
      <c r="A612" s="122" t="s">
        <v>1194</v>
      </c>
    </row>
    <row r="613" spans="1:9">
      <c r="A613" s="122" t="s">
        <v>1195</v>
      </c>
      <c r="B613" s="149" t="s">
        <v>1506</v>
      </c>
      <c r="C613" s="123"/>
    </row>
    <row r="614" spans="1:9" ht="20.399999999999999">
      <c r="A614" s="122" t="s">
        <v>76</v>
      </c>
      <c r="B614" s="290" t="s">
        <v>1505</v>
      </c>
      <c r="C614" s="150" t="s">
        <v>383</v>
      </c>
      <c r="E614" s="289" t="s">
        <v>2</v>
      </c>
      <c r="F614" s="289"/>
      <c r="G614" s="289"/>
    </row>
    <row r="615" spans="1:9" ht="20.399999999999999">
      <c r="A615" s="291" t="s">
        <v>30</v>
      </c>
      <c r="B615" s="292" t="s">
        <v>19</v>
      </c>
      <c r="C615" s="310"/>
      <c r="D615" s="293" t="s">
        <v>77</v>
      </c>
      <c r="E615" s="294" t="s">
        <v>82</v>
      </c>
      <c r="F615" s="295" t="s">
        <v>83</v>
      </c>
      <c r="G615" s="296" t="s">
        <v>84</v>
      </c>
    </row>
    <row r="616" spans="1:9" ht="14.1" customHeight="1">
      <c r="A616" s="309">
        <v>4760</v>
      </c>
      <c r="B616" s="297" t="s">
        <v>1504</v>
      </c>
      <c r="C616" s="295" t="s">
        <v>104</v>
      </c>
      <c r="D616" s="293" t="s">
        <v>383</v>
      </c>
      <c r="E616" s="294">
        <v>1.1900000000000001E-2</v>
      </c>
      <c r="F616" s="298">
        <f>14.68</f>
        <v>14.68</v>
      </c>
      <c r="G616" s="296">
        <f>TRUNC(E616*F616,2)</f>
        <v>0.17</v>
      </c>
    </row>
    <row r="617" spans="1:9" ht="14.1" customHeight="1">
      <c r="D617" s="299"/>
      <c r="E617" s="300"/>
      <c r="F617" s="301" t="s">
        <v>90</v>
      </c>
      <c r="G617" s="296">
        <f>G616</f>
        <v>0.17</v>
      </c>
    </row>
    <row r="618" spans="1:9" ht="14.1" customHeight="1">
      <c r="D618" s="299"/>
      <c r="E618" s="300"/>
      <c r="F618" s="301" t="s">
        <v>92</v>
      </c>
      <c r="G618" s="296"/>
    </row>
    <row r="619" spans="1:9" ht="14.1" customHeight="1">
      <c r="A619" s="302"/>
      <c r="D619" s="299"/>
      <c r="E619" s="300"/>
      <c r="F619" s="301" t="s">
        <v>93</v>
      </c>
      <c r="G619" s="303">
        <f>SUM(G617:G618)</f>
        <v>0.17</v>
      </c>
      <c r="H619" s="304"/>
    </row>
    <row r="620" spans="1:9">
      <c r="A620" s="305"/>
      <c r="B620" s="306"/>
      <c r="C620" s="307"/>
      <c r="D620" s="308"/>
      <c r="E620" s="305"/>
      <c r="F620" s="306"/>
      <c r="G620" s="306"/>
      <c r="H620" s="306"/>
      <c r="I620" s="305"/>
    </row>
    <row r="622" spans="1:9" ht="15" customHeight="1">
      <c r="A622" s="122" t="s">
        <v>1194</v>
      </c>
    </row>
    <row r="623" spans="1:9" ht="15" customHeight="1">
      <c r="A623" s="122" t="s">
        <v>1195</v>
      </c>
      <c r="B623" s="149" t="s">
        <v>1252</v>
      </c>
      <c r="C623" s="123"/>
    </row>
    <row r="624" spans="1:9" ht="20.399999999999999">
      <c r="A624" s="122" t="s">
        <v>76</v>
      </c>
      <c r="B624" s="290" t="s">
        <v>1253</v>
      </c>
      <c r="C624" s="150" t="s">
        <v>383</v>
      </c>
      <c r="E624" s="289" t="s">
        <v>2</v>
      </c>
      <c r="F624" s="289"/>
      <c r="G624" s="289"/>
    </row>
    <row r="625" spans="1:9" ht="20.399999999999999">
      <c r="A625" s="291" t="s">
        <v>30</v>
      </c>
      <c r="B625" s="292" t="s">
        <v>19</v>
      </c>
      <c r="C625" s="310"/>
      <c r="D625" s="293" t="s">
        <v>77</v>
      </c>
      <c r="E625" s="294" t="s">
        <v>82</v>
      </c>
      <c r="F625" s="295" t="s">
        <v>83</v>
      </c>
      <c r="G625" s="296" t="s">
        <v>84</v>
      </c>
    </row>
    <row r="626" spans="1:9" ht="15" customHeight="1">
      <c r="A626" s="309">
        <v>4750</v>
      </c>
      <c r="B626" s="297" t="s">
        <v>130</v>
      </c>
      <c r="C626" s="295" t="s">
        <v>104</v>
      </c>
      <c r="D626" s="293" t="s">
        <v>383</v>
      </c>
      <c r="E626" s="294">
        <v>1.7100000000000001E-2</v>
      </c>
      <c r="F626" s="298">
        <f>14.68</f>
        <v>14.68</v>
      </c>
      <c r="G626" s="296">
        <f>TRUNC(E626*F626,2)</f>
        <v>0.25</v>
      </c>
    </row>
    <row r="627" spans="1:9" ht="15" customHeight="1">
      <c r="D627" s="299"/>
      <c r="E627" s="300"/>
      <c r="F627" s="301" t="s">
        <v>90</v>
      </c>
      <c r="G627" s="296">
        <f>G626</f>
        <v>0.25</v>
      </c>
    </row>
    <row r="628" spans="1:9" ht="15" customHeight="1">
      <c r="D628" s="299"/>
      <c r="E628" s="300"/>
      <c r="F628" s="301" t="s">
        <v>92</v>
      </c>
      <c r="G628" s="296"/>
    </row>
    <row r="629" spans="1:9" ht="15" customHeight="1">
      <c r="A629" s="302"/>
      <c r="D629" s="299"/>
      <c r="E629" s="300"/>
      <c r="F629" s="301" t="s">
        <v>93</v>
      </c>
      <c r="G629" s="303">
        <f>SUM(G627:G628)</f>
        <v>0.25</v>
      </c>
      <c r="H629" s="304"/>
    </row>
    <row r="630" spans="1:9">
      <c r="A630" s="305"/>
      <c r="B630" s="306"/>
      <c r="C630" s="307"/>
      <c r="D630" s="308"/>
      <c r="E630" s="305"/>
      <c r="F630" s="306"/>
      <c r="G630" s="306"/>
      <c r="H630" s="306"/>
      <c r="I630" s="305"/>
    </row>
    <row r="632" spans="1:9">
      <c r="A632" s="122" t="s">
        <v>1194</v>
      </c>
    </row>
    <row r="633" spans="1:9">
      <c r="A633" s="122" t="s">
        <v>1195</v>
      </c>
      <c r="B633" s="149" t="s">
        <v>1428</v>
      </c>
      <c r="C633" s="123"/>
    </row>
    <row r="634" spans="1:9" ht="20.399999999999999">
      <c r="A634" s="122" t="s">
        <v>76</v>
      </c>
      <c r="B634" s="290" t="s">
        <v>1429</v>
      </c>
      <c r="C634" s="150" t="s">
        <v>383</v>
      </c>
      <c r="E634" s="289" t="s">
        <v>2</v>
      </c>
      <c r="F634" s="289"/>
      <c r="G634" s="289"/>
    </row>
    <row r="635" spans="1:9" ht="20.399999999999999">
      <c r="A635" s="291" t="s">
        <v>30</v>
      </c>
      <c r="B635" s="292" t="s">
        <v>19</v>
      </c>
      <c r="C635" s="310"/>
      <c r="D635" s="293" t="s">
        <v>77</v>
      </c>
      <c r="E635" s="294" t="s">
        <v>82</v>
      </c>
      <c r="F635" s="295" t="s">
        <v>83</v>
      </c>
      <c r="G635" s="296" t="s">
        <v>84</v>
      </c>
    </row>
    <row r="636" spans="1:9" ht="14.1" customHeight="1">
      <c r="A636" s="309">
        <v>12869</v>
      </c>
      <c r="B636" s="297" t="s">
        <v>1430</v>
      </c>
      <c r="C636" s="295" t="s">
        <v>104</v>
      </c>
      <c r="D636" s="293" t="s">
        <v>383</v>
      </c>
      <c r="E636" s="294">
        <v>9.2999999999999992E-3</v>
      </c>
      <c r="F636" s="298">
        <f>16.02</f>
        <v>16.02</v>
      </c>
      <c r="G636" s="296">
        <f>TRUNC(E636*F636,2)</f>
        <v>0.14000000000000001</v>
      </c>
    </row>
    <row r="637" spans="1:9" ht="14.1" customHeight="1">
      <c r="D637" s="299"/>
      <c r="E637" s="300"/>
      <c r="F637" s="301" t="s">
        <v>90</v>
      </c>
      <c r="G637" s="296">
        <f>G636</f>
        <v>0.14000000000000001</v>
      </c>
    </row>
    <row r="638" spans="1:9" ht="14.1" customHeight="1">
      <c r="D638" s="299"/>
      <c r="E638" s="300"/>
      <c r="F638" s="301" t="s">
        <v>92</v>
      </c>
      <c r="G638" s="296"/>
    </row>
    <row r="639" spans="1:9" ht="14.1" customHeight="1">
      <c r="A639" s="302"/>
      <c r="D639" s="299"/>
      <c r="E639" s="300"/>
      <c r="F639" s="301" t="s">
        <v>93</v>
      </c>
      <c r="G639" s="303">
        <f>SUM(G637:G638)</f>
        <v>0.14000000000000001</v>
      </c>
      <c r="H639" s="304"/>
    </row>
    <row r="640" spans="1:9">
      <c r="A640" s="305"/>
      <c r="B640" s="306"/>
      <c r="C640" s="307"/>
      <c r="D640" s="308"/>
      <c r="E640" s="305"/>
      <c r="F640" s="306"/>
      <c r="G640" s="306"/>
      <c r="H640" s="306"/>
      <c r="I640" s="305"/>
    </row>
    <row r="642" spans="1:8">
      <c r="A642" s="122" t="s">
        <v>1194</v>
      </c>
    </row>
    <row r="643" spans="1:8">
      <c r="A643" s="122" t="s">
        <v>1195</v>
      </c>
      <c r="B643" s="149" t="s">
        <v>1705</v>
      </c>
      <c r="C643" s="123"/>
    </row>
    <row r="644" spans="1:8" ht="20.399999999999999">
      <c r="A644" s="122" t="s">
        <v>76</v>
      </c>
      <c r="B644" s="290" t="s">
        <v>1704</v>
      </c>
      <c r="C644" s="150" t="s">
        <v>383</v>
      </c>
      <c r="E644" s="289" t="s">
        <v>2</v>
      </c>
      <c r="F644" s="289"/>
      <c r="G644" s="289"/>
    </row>
    <row r="645" spans="1:8" ht="20.399999999999999">
      <c r="A645" s="291" t="s">
        <v>30</v>
      </c>
      <c r="B645" s="292" t="s">
        <v>19</v>
      </c>
      <c r="C645" s="310"/>
      <c r="D645" s="293" t="s">
        <v>77</v>
      </c>
      <c r="E645" s="294" t="s">
        <v>82</v>
      </c>
      <c r="F645" s="295" t="s">
        <v>83</v>
      </c>
      <c r="G645" s="296" t="s">
        <v>84</v>
      </c>
    </row>
    <row r="646" spans="1:8" ht="15" customHeight="1">
      <c r="A646" s="309">
        <v>6110</v>
      </c>
      <c r="B646" s="297" t="s">
        <v>1706</v>
      </c>
      <c r="C646" s="295" t="s">
        <v>104</v>
      </c>
      <c r="D646" s="293" t="s">
        <v>383</v>
      </c>
      <c r="E646" s="294">
        <v>9.2999999999999992E-3</v>
      </c>
      <c r="F646" s="298">
        <f>14.68</f>
        <v>14.68</v>
      </c>
      <c r="G646" s="296">
        <f>TRUNC(E646*F646,2)</f>
        <v>0.13</v>
      </c>
    </row>
    <row r="647" spans="1:8" ht="15" customHeight="1">
      <c r="D647" s="299"/>
      <c r="E647" s="300"/>
      <c r="F647" s="301" t="s">
        <v>90</v>
      </c>
      <c r="G647" s="296">
        <f>G646</f>
        <v>0.13</v>
      </c>
    </row>
    <row r="648" spans="1:8" ht="15" customHeight="1">
      <c r="D648" s="299"/>
      <c r="E648" s="300"/>
      <c r="F648" s="301" t="s">
        <v>92</v>
      </c>
      <c r="G648" s="296"/>
    </row>
    <row r="649" spans="1:8" ht="15" customHeight="1">
      <c r="A649" s="302"/>
      <c r="D649" s="299"/>
      <c r="E649" s="300"/>
      <c r="F649" s="301" t="s">
        <v>93</v>
      </c>
      <c r="G649" s="303">
        <f>SUM(G647:G648)</f>
        <v>0.13</v>
      </c>
      <c r="H649" s="304"/>
    </row>
    <row r="650" spans="1:8">
      <c r="A650" s="305"/>
      <c r="B650" s="306"/>
      <c r="C650" s="307"/>
      <c r="D650" s="308"/>
      <c r="E650" s="305"/>
      <c r="F650" s="306"/>
      <c r="G650" s="306"/>
      <c r="H650" s="306"/>
    </row>
    <row r="652" spans="1:8">
      <c r="A652" s="122" t="s">
        <v>2709</v>
      </c>
      <c r="B652" s="833"/>
    </row>
    <row r="653" spans="1:8">
      <c r="A653" s="122" t="s">
        <v>1195</v>
      </c>
      <c r="B653" s="819" t="s">
        <v>2723</v>
      </c>
      <c r="C653" s="123"/>
    </row>
    <row r="654" spans="1:8" ht="20.399999999999999">
      <c r="A654" s="122" t="s">
        <v>76</v>
      </c>
      <c r="B654" s="832" t="s">
        <v>2724</v>
      </c>
      <c r="C654" s="150" t="s">
        <v>383</v>
      </c>
      <c r="E654" s="289" t="s">
        <v>2</v>
      </c>
      <c r="F654" s="289"/>
      <c r="G654" s="289"/>
    </row>
    <row r="655" spans="1:8" ht="20.399999999999999">
      <c r="A655" s="291" t="s">
        <v>30</v>
      </c>
      <c r="B655" s="292" t="s">
        <v>19</v>
      </c>
      <c r="C655" s="310"/>
      <c r="D655" s="293" t="s">
        <v>77</v>
      </c>
      <c r="E655" s="780" t="s">
        <v>82</v>
      </c>
      <c r="F655" s="295" t="s">
        <v>83</v>
      </c>
      <c r="G655" s="296" t="s">
        <v>84</v>
      </c>
    </row>
    <row r="656" spans="1:8" ht="15" customHeight="1">
      <c r="A656" s="818" t="s">
        <v>2725</v>
      </c>
      <c r="B656" s="817" t="s">
        <v>2726</v>
      </c>
      <c r="C656" s="295" t="s">
        <v>104</v>
      </c>
      <c r="D656" s="293" t="s">
        <v>383</v>
      </c>
      <c r="E656" s="828">
        <v>7.9000000000000008E-3</v>
      </c>
      <c r="F656" s="825">
        <f>14.32</f>
        <v>14.32</v>
      </c>
      <c r="G656" s="296">
        <f>TRUNC(E656*F656,2)</f>
        <v>0.11</v>
      </c>
    </row>
    <row r="657" spans="1:8" ht="15" customHeight="1">
      <c r="D657" s="299"/>
      <c r="E657" s="300"/>
      <c r="F657" s="301" t="s">
        <v>90</v>
      </c>
      <c r="G657" s="296">
        <f>G656</f>
        <v>0.11</v>
      </c>
    </row>
    <row r="658" spans="1:8" ht="15" customHeight="1">
      <c r="D658" s="299"/>
      <c r="E658" s="300"/>
      <c r="F658" s="301" t="s">
        <v>92</v>
      </c>
      <c r="G658" s="296"/>
    </row>
    <row r="659" spans="1:8" ht="15" customHeight="1">
      <c r="A659" s="302"/>
      <c r="D659" s="299"/>
      <c r="E659" s="300"/>
      <c r="F659" s="301" t="s">
        <v>93</v>
      </c>
      <c r="G659" s="811">
        <f>SUM(G657:G658)</f>
        <v>0.11</v>
      </c>
      <c r="H659" s="304"/>
    </row>
    <row r="660" spans="1:8">
      <c r="A660" s="305"/>
      <c r="B660" s="306"/>
      <c r="C660" s="307"/>
      <c r="D660" s="308"/>
      <c r="E660" s="305"/>
      <c r="F660" s="306"/>
      <c r="G660" s="306"/>
      <c r="H660" s="306"/>
    </row>
    <row r="662" spans="1:8">
      <c r="A662" s="122" t="s">
        <v>1194</v>
      </c>
    </row>
    <row r="663" spans="1:8">
      <c r="A663" s="122" t="s">
        <v>1195</v>
      </c>
      <c r="B663" s="148" t="s">
        <v>1254</v>
      </c>
      <c r="C663" s="123"/>
    </row>
    <row r="664" spans="1:8" ht="38.25" customHeight="1">
      <c r="A664" s="122" t="s">
        <v>76</v>
      </c>
      <c r="B664" s="1161" t="s">
        <v>1255</v>
      </c>
      <c r="C664" s="1161"/>
      <c r="D664" s="1161"/>
      <c r="E664" s="150" t="s">
        <v>1256</v>
      </c>
      <c r="F664" s="289"/>
      <c r="G664" s="289"/>
    </row>
    <row r="665" spans="1:8" ht="20.399999999999999">
      <c r="A665" s="291" t="s">
        <v>30</v>
      </c>
      <c r="B665" s="292" t="s">
        <v>19</v>
      </c>
      <c r="C665" s="293" t="s">
        <v>81</v>
      </c>
      <c r="D665" s="293" t="s">
        <v>77</v>
      </c>
      <c r="E665" s="294" t="s">
        <v>82</v>
      </c>
      <c r="F665" s="295" t="s">
        <v>83</v>
      </c>
      <c r="G665" s="296" t="s">
        <v>84</v>
      </c>
    </row>
    <row r="666" spans="1:8" ht="15" customHeight="1">
      <c r="A666" s="1159">
        <v>88281</v>
      </c>
      <c r="B666" s="1129" t="s">
        <v>1257</v>
      </c>
      <c r="C666" s="296" t="s">
        <v>104</v>
      </c>
      <c r="D666" s="1189" t="s">
        <v>383</v>
      </c>
      <c r="E666" s="1285">
        <v>1</v>
      </c>
      <c r="F666" s="825">
        <f>G134</f>
        <v>11.129999999999999</v>
      </c>
      <c r="G666" s="296">
        <f t="shared" ref="G666:G670" si="27">TRUNC(E666*F666,2)</f>
        <v>11.13</v>
      </c>
    </row>
    <row r="667" spans="1:8" ht="15" customHeight="1">
      <c r="A667" s="1164"/>
      <c r="B667" s="1130"/>
      <c r="C667" s="296" t="s">
        <v>87</v>
      </c>
      <c r="D667" s="1190"/>
      <c r="E667" s="1286"/>
      <c r="F667" s="825">
        <f>G135</f>
        <v>3.33</v>
      </c>
      <c r="G667" s="296">
        <f>TRUNC(E666*F667,2)</f>
        <v>3.33</v>
      </c>
    </row>
    <row r="668" spans="1:8" ht="48.75" customHeight="1">
      <c r="A668" s="291" t="s">
        <v>1258</v>
      </c>
      <c r="B668" s="297" t="s">
        <v>1259</v>
      </c>
      <c r="C668" s="294" t="s">
        <v>1260</v>
      </c>
      <c r="D668" s="293" t="s">
        <v>383</v>
      </c>
      <c r="E668" s="311">
        <v>1</v>
      </c>
      <c r="F668" s="828">
        <v>11.96</v>
      </c>
      <c r="G668" s="312">
        <f t="shared" si="27"/>
        <v>11.96</v>
      </c>
    </row>
    <row r="669" spans="1:8" ht="53.25" customHeight="1">
      <c r="A669" s="291" t="s">
        <v>1261</v>
      </c>
      <c r="B669" s="297" t="s">
        <v>1262</v>
      </c>
      <c r="C669" s="294" t="s">
        <v>1260</v>
      </c>
      <c r="D669" s="293" t="s">
        <v>383</v>
      </c>
      <c r="E669" s="311">
        <v>1</v>
      </c>
      <c r="F669" s="825">
        <v>2.21</v>
      </c>
      <c r="G669" s="312">
        <f t="shared" si="27"/>
        <v>2.21</v>
      </c>
    </row>
    <row r="670" spans="1:8" ht="51" customHeight="1">
      <c r="A670" s="291" t="s">
        <v>1263</v>
      </c>
      <c r="B670" s="297" t="s">
        <v>1264</v>
      </c>
      <c r="C670" s="294" t="s">
        <v>1260</v>
      </c>
      <c r="D670" s="293" t="s">
        <v>383</v>
      </c>
      <c r="E670" s="311">
        <v>1</v>
      </c>
      <c r="F670" s="825">
        <v>0.85</v>
      </c>
      <c r="G670" s="312">
        <f t="shared" si="27"/>
        <v>0.85</v>
      </c>
    </row>
    <row r="671" spans="1:8" ht="14.1" customHeight="1">
      <c r="D671" s="299"/>
      <c r="E671" s="300"/>
      <c r="F671" s="301" t="s">
        <v>90</v>
      </c>
      <c r="G671" s="296">
        <f>G666</f>
        <v>11.13</v>
      </c>
    </row>
    <row r="672" spans="1:8" ht="14.1" customHeight="1">
      <c r="D672" s="299"/>
      <c r="E672" s="300"/>
      <c r="F672" s="301" t="s">
        <v>92</v>
      </c>
      <c r="G672" s="296">
        <f>SUM(G667:G670)</f>
        <v>18.350000000000001</v>
      </c>
    </row>
    <row r="673" spans="1:9" ht="14.1" customHeight="1">
      <c r="A673" s="302"/>
      <c r="D673" s="299"/>
      <c r="E673" s="300"/>
      <c r="F673" s="301" t="s">
        <v>93</v>
      </c>
      <c r="G673" s="820">
        <f>SUM(G671:G672)</f>
        <v>29.480000000000004</v>
      </c>
      <c r="H673" s="304"/>
    </row>
    <row r="674" spans="1:9">
      <c r="A674" s="305"/>
      <c r="B674" s="306"/>
      <c r="C674" s="307"/>
      <c r="D674" s="308"/>
      <c r="E674" s="305"/>
      <c r="F674" s="306"/>
      <c r="G674" s="306"/>
      <c r="H674" s="306"/>
      <c r="I674" s="305"/>
    </row>
    <row r="677" spans="1:9">
      <c r="A677" s="122" t="s">
        <v>1194</v>
      </c>
    </row>
    <row r="678" spans="1:9">
      <c r="A678" s="122" t="s">
        <v>1195</v>
      </c>
      <c r="B678" s="148" t="s">
        <v>1265</v>
      </c>
      <c r="C678" s="123"/>
    </row>
    <row r="679" spans="1:9" ht="39" customHeight="1">
      <c r="A679" s="122" t="s">
        <v>76</v>
      </c>
      <c r="B679" s="1161" t="s">
        <v>1266</v>
      </c>
      <c r="C679" s="1161"/>
      <c r="D679" s="1161"/>
      <c r="E679" s="150" t="s">
        <v>1256</v>
      </c>
      <c r="F679" s="289"/>
      <c r="G679" s="289"/>
    </row>
    <row r="680" spans="1:9" ht="20.399999999999999">
      <c r="A680" s="291" t="s">
        <v>30</v>
      </c>
      <c r="B680" s="292" t="s">
        <v>19</v>
      </c>
      <c r="C680" s="293" t="s">
        <v>81</v>
      </c>
      <c r="D680" s="293" t="s">
        <v>77</v>
      </c>
      <c r="E680" s="294" t="s">
        <v>82</v>
      </c>
      <c r="F680" s="295" t="s">
        <v>83</v>
      </c>
      <c r="G680" s="296" t="s">
        <v>84</v>
      </c>
    </row>
    <row r="681" spans="1:9" ht="28.5" customHeight="1">
      <c r="A681" s="291" t="s">
        <v>1267</v>
      </c>
      <c r="B681" s="297" t="s">
        <v>1268</v>
      </c>
      <c r="C681" s="294" t="s">
        <v>1260</v>
      </c>
      <c r="D681" s="293" t="s">
        <v>77</v>
      </c>
      <c r="E681" s="314">
        <v>4.0000000000000003E-5</v>
      </c>
      <c r="F681" s="315">
        <v>27342.65</v>
      </c>
      <c r="G681" s="312">
        <f t="shared" ref="G681:G682" si="28">TRUNC(E681*F681,2)</f>
        <v>1.0900000000000001</v>
      </c>
    </row>
    <row r="682" spans="1:9" ht="47.25" customHeight="1">
      <c r="A682" s="291" t="s">
        <v>1269</v>
      </c>
      <c r="B682" s="297" t="s">
        <v>1270</v>
      </c>
      <c r="C682" s="294" t="s">
        <v>1260</v>
      </c>
      <c r="D682" s="293" t="s">
        <v>77</v>
      </c>
      <c r="E682" s="314">
        <v>4.0000000000000003E-5</v>
      </c>
      <c r="F682" s="315" t="s">
        <v>1271</v>
      </c>
      <c r="G682" s="312">
        <f t="shared" si="28"/>
        <v>10.06</v>
      </c>
    </row>
    <row r="683" spans="1:9" ht="14.1" customHeight="1">
      <c r="D683" s="299"/>
      <c r="E683" s="300"/>
      <c r="F683" s="301" t="s">
        <v>90</v>
      </c>
      <c r="G683" s="296"/>
    </row>
    <row r="684" spans="1:9" ht="14.1" customHeight="1">
      <c r="D684" s="299"/>
      <c r="E684" s="300"/>
      <c r="F684" s="301" t="s">
        <v>92</v>
      </c>
      <c r="G684" s="312">
        <f>SUM(G681:G682)</f>
        <v>11.15</v>
      </c>
    </row>
    <row r="685" spans="1:9" ht="14.1" customHeight="1">
      <c r="D685" s="299"/>
      <c r="E685" s="300"/>
      <c r="F685" s="301" t="s">
        <v>93</v>
      </c>
      <c r="G685" s="303">
        <f>SUM(G683:G684)</f>
        <v>11.15</v>
      </c>
    </row>
    <row r="686" spans="1:9">
      <c r="A686" s="306"/>
      <c r="B686" s="306"/>
      <c r="C686" s="306"/>
      <c r="D686" s="306"/>
      <c r="E686" s="306"/>
      <c r="F686" s="306"/>
      <c r="G686" s="306"/>
      <c r="H686" s="306"/>
      <c r="I686" s="306"/>
    </row>
    <row r="688" spans="1:9">
      <c r="A688" s="122" t="s">
        <v>1194</v>
      </c>
    </row>
    <row r="689" spans="1:9">
      <c r="A689" s="122" t="s">
        <v>1195</v>
      </c>
      <c r="B689" s="148" t="s">
        <v>1272</v>
      </c>
      <c r="C689" s="123"/>
    </row>
    <row r="690" spans="1:9" ht="41.25" customHeight="1">
      <c r="A690" s="122" t="s">
        <v>76</v>
      </c>
      <c r="B690" s="1161" t="s">
        <v>1262</v>
      </c>
      <c r="C690" s="1161"/>
      <c r="D690" s="1161"/>
      <c r="E690" s="150" t="s">
        <v>1256</v>
      </c>
      <c r="F690" s="289"/>
      <c r="G690" s="289"/>
    </row>
    <row r="691" spans="1:9" ht="20.399999999999999">
      <c r="A691" s="291" t="s">
        <v>30</v>
      </c>
      <c r="B691" s="292" t="s">
        <v>19</v>
      </c>
      <c r="C691" s="293" t="s">
        <v>81</v>
      </c>
      <c r="D691" s="293" t="s">
        <v>77</v>
      </c>
      <c r="E691" s="294" t="s">
        <v>82</v>
      </c>
      <c r="F691" s="295" t="s">
        <v>83</v>
      </c>
      <c r="G691" s="296" t="s">
        <v>84</v>
      </c>
    </row>
    <row r="692" spans="1:9" ht="20.399999999999999">
      <c r="A692" s="291" t="s">
        <v>1267</v>
      </c>
      <c r="B692" s="297" t="s">
        <v>1268</v>
      </c>
      <c r="C692" s="294" t="s">
        <v>1260</v>
      </c>
      <c r="D692" s="293" t="s">
        <v>77</v>
      </c>
      <c r="E692" s="316">
        <v>1.4E-5</v>
      </c>
      <c r="F692" s="315">
        <v>27342.65</v>
      </c>
      <c r="G692" s="312">
        <f t="shared" ref="G692:G693" si="29">TRUNC(E692*F692,2)</f>
        <v>0.38</v>
      </c>
    </row>
    <row r="693" spans="1:9" ht="40.799999999999997">
      <c r="A693" s="291" t="s">
        <v>1269</v>
      </c>
      <c r="B693" s="297" t="s">
        <v>1270</v>
      </c>
      <c r="C693" s="294" t="s">
        <v>1260</v>
      </c>
      <c r="D693" s="293" t="s">
        <v>77</v>
      </c>
      <c r="E693" s="316">
        <v>1.4E-5</v>
      </c>
      <c r="F693" s="315" t="s">
        <v>1271</v>
      </c>
      <c r="G693" s="312">
        <f t="shared" si="29"/>
        <v>3.52</v>
      </c>
    </row>
    <row r="694" spans="1:9" ht="14.1" customHeight="1">
      <c r="D694" s="299"/>
      <c r="E694" s="300"/>
      <c r="F694" s="301" t="s">
        <v>90</v>
      </c>
      <c r="G694" s="296"/>
    </row>
    <row r="695" spans="1:9" ht="14.1" customHeight="1">
      <c r="D695" s="299"/>
      <c r="E695" s="300"/>
      <c r="F695" s="301" t="s">
        <v>92</v>
      </c>
      <c r="G695" s="312">
        <f>SUM(G692:G693)</f>
        <v>3.9</v>
      </c>
    </row>
    <row r="696" spans="1:9" ht="14.1" customHeight="1">
      <c r="D696" s="299"/>
      <c r="E696" s="300"/>
      <c r="F696" s="301" t="s">
        <v>93</v>
      </c>
      <c r="G696" s="313">
        <f>SUM(G694:G695)</f>
        <v>3.9</v>
      </c>
    </row>
    <row r="697" spans="1:9">
      <c r="A697" s="306"/>
      <c r="B697" s="306"/>
      <c r="C697" s="306"/>
      <c r="D697" s="306"/>
      <c r="E697" s="306"/>
      <c r="F697" s="306"/>
      <c r="G697" s="306"/>
      <c r="H697" s="306"/>
      <c r="I697" s="306"/>
    </row>
    <row r="699" spans="1:9">
      <c r="A699" s="122" t="s">
        <v>1194</v>
      </c>
    </row>
    <row r="700" spans="1:9">
      <c r="A700" s="122" t="s">
        <v>1195</v>
      </c>
      <c r="B700" s="148" t="s">
        <v>1273</v>
      </c>
      <c r="C700" s="123"/>
    </row>
    <row r="701" spans="1:9" ht="39.75" customHeight="1">
      <c r="A701" s="122" t="s">
        <v>76</v>
      </c>
      <c r="B701" s="1161" t="s">
        <v>1274</v>
      </c>
      <c r="C701" s="1161"/>
      <c r="D701" s="1161"/>
      <c r="E701" s="150" t="s">
        <v>1256</v>
      </c>
      <c r="F701" s="289"/>
      <c r="G701" s="289"/>
    </row>
    <row r="702" spans="1:9" ht="20.399999999999999">
      <c r="A702" s="291" t="s">
        <v>30</v>
      </c>
      <c r="B702" s="292" t="s">
        <v>19</v>
      </c>
      <c r="C702" s="293" t="s">
        <v>81</v>
      </c>
      <c r="D702" s="293" t="s">
        <v>77</v>
      </c>
      <c r="E702" s="294" t="s">
        <v>82</v>
      </c>
      <c r="F702" s="295" t="s">
        <v>83</v>
      </c>
      <c r="G702" s="296" t="s">
        <v>84</v>
      </c>
    </row>
    <row r="703" spans="1:9" ht="20.399999999999999">
      <c r="A703" s="291" t="s">
        <v>1267</v>
      </c>
      <c r="B703" s="297" t="s">
        <v>1268</v>
      </c>
      <c r="C703" s="294" t="s">
        <v>1260</v>
      </c>
      <c r="D703" s="293" t="s">
        <v>77</v>
      </c>
      <c r="E703" s="317">
        <v>2.9000000000000002E-6</v>
      </c>
      <c r="F703" s="315">
        <v>27342.65</v>
      </c>
      <c r="G703" s="312">
        <f t="shared" ref="G703:G704" si="30">TRUNC(E703*F703,2)</f>
        <v>7.0000000000000007E-2</v>
      </c>
    </row>
    <row r="704" spans="1:9" ht="40.799999999999997">
      <c r="A704" s="291" t="s">
        <v>1269</v>
      </c>
      <c r="B704" s="297" t="s">
        <v>1270</v>
      </c>
      <c r="C704" s="294" t="s">
        <v>1260</v>
      </c>
      <c r="D704" s="293" t="s">
        <v>77</v>
      </c>
      <c r="E704" s="317">
        <v>2.9000000000000002E-6</v>
      </c>
      <c r="F704" s="315" t="s">
        <v>1271</v>
      </c>
      <c r="G704" s="312">
        <f t="shared" si="30"/>
        <v>0.72</v>
      </c>
    </row>
    <row r="705" spans="1:9">
      <c r="D705" s="299"/>
      <c r="E705" s="300"/>
      <c r="F705" s="301" t="s">
        <v>90</v>
      </c>
      <c r="G705" s="296"/>
    </row>
    <row r="706" spans="1:9">
      <c r="D706" s="299"/>
      <c r="E706" s="300"/>
      <c r="F706" s="301" t="s">
        <v>92</v>
      </c>
      <c r="G706" s="312">
        <f>SUM(G703:G704)</f>
        <v>0.79</v>
      </c>
    </row>
    <row r="707" spans="1:9">
      <c r="D707" s="299"/>
      <c r="E707" s="300"/>
      <c r="F707" s="301" t="s">
        <v>93</v>
      </c>
      <c r="G707" s="313">
        <f>SUM(G705:G706)</f>
        <v>0.79</v>
      </c>
    </row>
    <row r="708" spans="1:9">
      <c r="A708" s="306"/>
      <c r="B708" s="306"/>
      <c r="C708" s="306"/>
      <c r="D708" s="306"/>
      <c r="E708" s="306"/>
      <c r="F708" s="306"/>
      <c r="G708" s="306"/>
      <c r="H708" s="306"/>
      <c r="I708" s="306"/>
    </row>
    <row r="710" spans="1:9">
      <c r="A710" s="122" t="s">
        <v>1194</v>
      </c>
    </row>
    <row r="711" spans="1:9">
      <c r="A711" s="122" t="s">
        <v>1195</v>
      </c>
      <c r="B711" s="148" t="s">
        <v>1275</v>
      </c>
      <c r="C711" s="123"/>
    </row>
    <row r="712" spans="1:9" ht="27.75" customHeight="1">
      <c r="A712" s="122" t="s">
        <v>76</v>
      </c>
      <c r="B712" s="1161" t="s">
        <v>1276</v>
      </c>
      <c r="C712" s="1161"/>
      <c r="D712" s="1161"/>
      <c r="E712" s="318" t="s">
        <v>1277</v>
      </c>
      <c r="F712" s="289"/>
      <c r="G712" s="289"/>
    </row>
    <row r="713" spans="1:9" ht="20.399999999999999">
      <c r="A713" s="291" t="s">
        <v>30</v>
      </c>
      <c r="B713" s="292" t="s">
        <v>19</v>
      </c>
      <c r="C713" s="293" t="s">
        <v>81</v>
      </c>
      <c r="D713" s="293" t="s">
        <v>77</v>
      </c>
      <c r="E713" s="294" t="s">
        <v>82</v>
      </c>
      <c r="F713" s="295" t="s">
        <v>83</v>
      </c>
      <c r="G713" s="296" t="s">
        <v>84</v>
      </c>
    </row>
    <row r="714" spans="1:9" ht="14.1" customHeight="1">
      <c r="A714" s="1159">
        <v>88297</v>
      </c>
      <c r="B714" s="1129" t="s">
        <v>1278</v>
      </c>
      <c r="C714" s="296" t="s">
        <v>104</v>
      </c>
      <c r="D714" s="1189" t="s">
        <v>383</v>
      </c>
      <c r="E714" s="1285">
        <v>1</v>
      </c>
      <c r="F714" s="825">
        <f>G736</f>
        <v>10.99</v>
      </c>
      <c r="G714" s="312">
        <f t="shared" ref="G714" si="31">TRUNC(E714*F714,2)</f>
        <v>10.99</v>
      </c>
    </row>
    <row r="715" spans="1:9" ht="14.1" customHeight="1">
      <c r="A715" s="1164"/>
      <c r="B715" s="1130"/>
      <c r="C715" s="296" t="s">
        <v>87</v>
      </c>
      <c r="D715" s="1190"/>
      <c r="E715" s="1286"/>
      <c r="F715" s="825">
        <f>G737</f>
        <v>3.99</v>
      </c>
      <c r="G715" s="312">
        <f>TRUNC(E714*F715,2)</f>
        <v>3.99</v>
      </c>
    </row>
    <row r="716" spans="1:9" ht="38.25" customHeight="1">
      <c r="A716" s="291" t="s">
        <v>1279</v>
      </c>
      <c r="B716" s="297" t="s">
        <v>1280</v>
      </c>
      <c r="C716" s="294" t="s">
        <v>1260</v>
      </c>
      <c r="D716" s="293" t="s">
        <v>383</v>
      </c>
      <c r="E716" s="311">
        <v>1</v>
      </c>
      <c r="F716" s="828">
        <v>0.51</v>
      </c>
      <c r="G716" s="312">
        <f t="shared" ref="G716:G719" si="32">TRUNC(E716*F716,2)</f>
        <v>0.51</v>
      </c>
    </row>
    <row r="717" spans="1:9" ht="36" customHeight="1">
      <c r="A717" s="291" t="s">
        <v>1281</v>
      </c>
      <c r="B717" s="297" t="s">
        <v>1282</v>
      </c>
      <c r="C717" s="294" t="s">
        <v>1260</v>
      </c>
      <c r="D717" s="293" t="s">
        <v>383</v>
      </c>
      <c r="E717" s="311">
        <v>1</v>
      </c>
      <c r="F717" s="828">
        <v>7.0000000000000007E-2</v>
      </c>
      <c r="G717" s="312">
        <f t="shared" si="32"/>
        <v>7.0000000000000007E-2</v>
      </c>
    </row>
    <row r="718" spans="1:9" ht="36.75" customHeight="1">
      <c r="A718" s="291" t="s">
        <v>1283</v>
      </c>
      <c r="B718" s="297" t="s">
        <v>1284</v>
      </c>
      <c r="C718" s="294" t="s">
        <v>1260</v>
      </c>
      <c r="D718" s="293" t="s">
        <v>383</v>
      </c>
      <c r="E718" s="311">
        <v>1</v>
      </c>
      <c r="F718" s="825">
        <v>0.64</v>
      </c>
      <c r="G718" s="312">
        <f t="shared" si="32"/>
        <v>0.64</v>
      </c>
    </row>
    <row r="719" spans="1:9" ht="39" customHeight="1">
      <c r="A719" s="291" t="s">
        <v>1285</v>
      </c>
      <c r="B719" s="297" t="s">
        <v>1286</v>
      </c>
      <c r="C719" s="294" t="s">
        <v>1260</v>
      </c>
      <c r="D719" s="293" t="s">
        <v>383</v>
      </c>
      <c r="E719" s="311">
        <v>1</v>
      </c>
      <c r="F719" s="823">
        <v>4</v>
      </c>
      <c r="G719" s="312">
        <f t="shared" si="32"/>
        <v>4</v>
      </c>
    </row>
    <row r="720" spans="1:9" ht="14.1" customHeight="1">
      <c r="D720" s="319"/>
      <c r="E720" s="320"/>
      <c r="F720" s="321" t="s">
        <v>90</v>
      </c>
      <c r="G720" s="322">
        <f>G714</f>
        <v>10.99</v>
      </c>
    </row>
    <row r="721" spans="1:9" ht="14.1" customHeight="1">
      <c r="A721" s="302"/>
      <c r="D721" s="299"/>
      <c r="E721" s="300"/>
      <c r="F721" s="301" t="s">
        <v>92</v>
      </c>
      <c r="G721" s="312">
        <f>SUM(G715:G719)</f>
        <v>9.2100000000000009</v>
      </c>
    </row>
    <row r="722" spans="1:9" ht="14.1" customHeight="1">
      <c r="A722" s="302"/>
      <c r="F722" s="301" t="s">
        <v>93</v>
      </c>
      <c r="G722" s="820">
        <f>SUM(G720:G721)</f>
        <v>20.200000000000003</v>
      </c>
      <c r="H722" s="304"/>
    </row>
    <row r="723" spans="1:9">
      <c r="A723" s="305"/>
      <c r="B723" s="306"/>
      <c r="C723" s="307"/>
      <c r="D723" s="308"/>
      <c r="E723" s="305"/>
      <c r="F723" s="306"/>
      <c r="G723" s="306"/>
      <c r="H723" s="306"/>
      <c r="I723" s="305"/>
    </row>
    <row r="725" spans="1:9">
      <c r="A725" s="122" t="s">
        <v>1287</v>
      </c>
      <c r="C725" s="124"/>
      <c r="D725" s="122"/>
      <c r="E725" s="128"/>
      <c r="H725" s="122"/>
    </row>
    <row r="726" spans="1:9" ht="14.1" customHeight="1">
      <c r="A726" s="122" t="s">
        <v>33</v>
      </c>
      <c r="B726" s="149" t="s">
        <v>1288</v>
      </c>
      <c r="C726" s="124"/>
      <c r="D726" s="122"/>
      <c r="E726" s="128"/>
      <c r="H726" s="122"/>
    </row>
    <row r="727" spans="1:9" ht="26.25" customHeight="1">
      <c r="A727" s="122" t="s">
        <v>76</v>
      </c>
      <c r="B727" s="1289" t="s">
        <v>1278</v>
      </c>
      <c r="C727" s="1289"/>
      <c r="D727" s="150" t="s">
        <v>383</v>
      </c>
      <c r="H727" s="122"/>
    </row>
    <row r="728" spans="1:9" ht="20.399999999999999">
      <c r="A728" s="323" t="s">
        <v>30</v>
      </c>
      <c r="B728" s="297" t="s">
        <v>19</v>
      </c>
      <c r="C728" s="293" t="s">
        <v>81</v>
      </c>
      <c r="D728" s="293" t="s">
        <v>77</v>
      </c>
      <c r="E728" s="294" t="s">
        <v>82</v>
      </c>
      <c r="F728" s="295" t="s">
        <v>83</v>
      </c>
      <c r="G728" s="324" t="s">
        <v>84</v>
      </c>
      <c r="H728" s="122"/>
    </row>
    <row r="729" spans="1:9" ht="20.399999999999999">
      <c r="A729" s="309">
        <v>4230</v>
      </c>
      <c r="B729" s="297" t="s">
        <v>1289</v>
      </c>
      <c r="C729" s="293" t="s">
        <v>104</v>
      </c>
      <c r="D729" s="293" t="s">
        <v>383</v>
      </c>
      <c r="E729" s="325">
        <v>1</v>
      </c>
      <c r="F729" s="821">
        <v>10.91</v>
      </c>
      <c r="G729" s="312">
        <f>TRUNC(E729*F729,2)</f>
        <v>10.91</v>
      </c>
      <c r="H729" s="122"/>
    </row>
    <row r="730" spans="1:9" ht="20.399999999999999">
      <c r="A730" s="309" t="s">
        <v>1290</v>
      </c>
      <c r="B730" s="297" t="s">
        <v>1291</v>
      </c>
      <c r="C730" s="293" t="s">
        <v>1292</v>
      </c>
      <c r="D730" s="293" t="s">
        <v>383</v>
      </c>
      <c r="E730" s="325">
        <v>1</v>
      </c>
      <c r="F730" s="816">
        <v>2.2000000000000002</v>
      </c>
      <c r="G730" s="296">
        <f t="shared" ref="G730:G735" si="33">TRUNC(E730*F730,2)</f>
        <v>2.2000000000000002</v>
      </c>
      <c r="H730" s="122"/>
    </row>
    <row r="731" spans="1:9" ht="20.399999999999999">
      <c r="A731" s="309" t="s">
        <v>1293</v>
      </c>
      <c r="B731" s="297" t="s">
        <v>1294</v>
      </c>
      <c r="C731" s="293" t="s">
        <v>1292</v>
      </c>
      <c r="D731" s="293" t="s">
        <v>383</v>
      </c>
      <c r="E731" s="325">
        <v>1</v>
      </c>
      <c r="F731" s="816">
        <v>0.71</v>
      </c>
      <c r="G731" s="312">
        <f t="shared" si="33"/>
        <v>0.71</v>
      </c>
      <c r="H731" s="122"/>
    </row>
    <row r="732" spans="1:9" ht="20.399999999999999">
      <c r="A732" s="309" t="s">
        <v>1295</v>
      </c>
      <c r="B732" s="297" t="s">
        <v>1296</v>
      </c>
      <c r="C732" s="293" t="s">
        <v>1292</v>
      </c>
      <c r="D732" s="293" t="s">
        <v>383</v>
      </c>
      <c r="E732" s="325">
        <v>1</v>
      </c>
      <c r="F732" s="816">
        <v>0.35</v>
      </c>
      <c r="G732" s="296">
        <f t="shared" si="33"/>
        <v>0.35</v>
      </c>
      <c r="H732" s="122"/>
    </row>
    <row r="733" spans="1:9" ht="20.399999999999999">
      <c r="A733" s="309" t="s">
        <v>1297</v>
      </c>
      <c r="B733" s="297" t="s">
        <v>1298</v>
      </c>
      <c r="C733" s="293" t="s">
        <v>1292</v>
      </c>
      <c r="D733" s="293" t="s">
        <v>383</v>
      </c>
      <c r="E733" s="325">
        <v>1</v>
      </c>
      <c r="F733" s="816">
        <v>7.0000000000000007E-2</v>
      </c>
      <c r="G733" s="296">
        <f t="shared" si="33"/>
        <v>7.0000000000000007E-2</v>
      </c>
      <c r="H733" s="122"/>
    </row>
    <row r="734" spans="1:9" ht="14.1" customHeight="1">
      <c r="A734" s="309" t="s">
        <v>1299</v>
      </c>
      <c r="B734" s="297" t="s">
        <v>1223</v>
      </c>
      <c r="C734" s="293" t="s">
        <v>87</v>
      </c>
      <c r="D734" s="293" t="s">
        <v>383</v>
      </c>
      <c r="E734" s="325">
        <v>1</v>
      </c>
      <c r="F734" s="816">
        <v>0.66</v>
      </c>
      <c r="G734" s="312">
        <f t="shared" si="33"/>
        <v>0.66</v>
      </c>
      <c r="H734" s="122"/>
    </row>
    <row r="735" spans="1:9" ht="30.6">
      <c r="A735" s="309">
        <v>95360</v>
      </c>
      <c r="B735" s="297" t="s">
        <v>1300</v>
      </c>
      <c r="C735" s="293" t="s">
        <v>104</v>
      </c>
      <c r="D735" s="293" t="s">
        <v>383</v>
      </c>
      <c r="E735" s="325">
        <v>1</v>
      </c>
      <c r="F735" s="816">
        <v>0.08</v>
      </c>
      <c r="G735" s="312">
        <f t="shared" si="33"/>
        <v>0.08</v>
      </c>
      <c r="H735" s="122"/>
    </row>
    <row r="736" spans="1:9" ht="14.1" customHeight="1">
      <c r="C736" s="124"/>
      <c r="D736" s="328"/>
      <c r="E736" s="300"/>
      <c r="F736" s="301" t="s">
        <v>90</v>
      </c>
      <c r="G736" s="312">
        <f>G729+G735</f>
        <v>10.99</v>
      </c>
      <c r="H736" s="122"/>
    </row>
    <row r="737" spans="1:8" ht="14.1" customHeight="1">
      <c r="C737" s="124"/>
      <c r="E737" s="300"/>
      <c r="F737" s="301" t="s">
        <v>92</v>
      </c>
      <c r="G737" s="312">
        <f>SUM(G730:G734)</f>
        <v>3.99</v>
      </c>
      <c r="H737" s="122"/>
    </row>
    <row r="738" spans="1:8" ht="14.1" customHeight="1">
      <c r="A738" s="302"/>
      <c r="C738" s="124"/>
      <c r="D738" s="319"/>
      <c r="E738" s="300"/>
      <c r="F738" s="301" t="s">
        <v>93</v>
      </c>
      <c r="G738" s="811">
        <f>SUM(G736:G737)</f>
        <v>14.98</v>
      </c>
      <c r="H738" s="122"/>
    </row>
    <row r="739" spans="1:8">
      <c r="A739" s="305"/>
      <c r="B739" s="306"/>
      <c r="C739" s="308"/>
      <c r="D739" s="305"/>
      <c r="E739" s="306"/>
      <c r="F739" s="306"/>
      <c r="G739" s="306"/>
      <c r="H739" s="305"/>
    </row>
    <row r="741" spans="1:8">
      <c r="A741" s="122" t="s">
        <v>1287</v>
      </c>
      <c r="C741" s="124"/>
      <c r="D741" s="122"/>
      <c r="E741" s="128"/>
      <c r="H741" s="122"/>
    </row>
    <row r="742" spans="1:8" ht="13.5" customHeight="1">
      <c r="A742" s="122" t="s">
        <v>33</v>
      </c>
      <c r="B742" s="149" t="s">
        <v>2052</v>
      </c>
      <c r="C742" s="124"/>
      <c r="D742" s="122"/>
      <c r="E742" s="128"/>
      <c r="H742" s="122"/>
    </row>
    <row r="743" spans="1:8" ht="26.25" customHeight="1">
      <c r="A743" s="122" t="s">
        <v>76</v>
      </c>
      <c r="B743" s="1161" t="s">
        <v>2050</v>
      </c>
      <c r="C743" s="1161"/>
      <c r="D743" s="318" t="s">
        <v>383</v>
      </c>
      <c r="H743" s="122"/>
    </row>
    <row r="744" spans="1:8" ht="20.399999999999999">
      <c r="A744" s="323" t="s">
        <v>30</v>
      </c>
      <c r="B744" s="297" t="s">
        <v>19</v>
      </c>
      <c r="C744" s="293" t="s">
        <v>81</v>
      </c>
      <c r="D744" s="293" t="s">
        <v>77</v>
      </c>
      <c r="E744" s="294" t="s">
        <v>82</v>
      </c>
      <c r="F744" s="295" t="s">
        <v>83</v>
      </c>
      <c r="G744" s="324" t="s">
        <v>84</v>
      </c>
      <c r="H744" s="122"/>
    </row>
    <row r="745" spans="1:8">
      <c r="A745" s="309">
        <v>2701</v>
      </c>
      <c r="B745" s="297" t="s">
        <v>2053</v>
      </c>
      <c r="C745" s="293" t="s">
        <v>104</v>
      </c>
      <c r="D745" s="293" t="s">
        <v>383</v>
      </c>
      <c r="E745" s="325">
        <v>1</v>
      </c>
      <c r="F745" s="821">
        <v>11</v>
      </c>
      <c r="G745" s="312">
        <f>TRUNC(E745*F745,2)</f>
        <v>11</v>
      </c>
      <c r="H745" s="122"/>
    </row>
    <row r="746" spans="1:8" ht="20.399999999999999">
      <c r="A746" s="309" t="s">
        <v>1290</v>
      </c>
      <c r="B746" s="297" t="s">
        <v>1291</v>
      </c>
      <c r="C746" s="293" t="s">
        <v>1292</v>
      </c>
      <c r="D746" s="293" t="s">
        <v>383</v>
      </c>
      <c r="E746" s="325">
        <v>1</v>
      </c>
      <c r="F746" s="816">
        <v>2.2000000000000002</v>
      </c>
      <c r="G746" s="296">
        <f t="shared" ref="G746:G752" si="34">TRUNC(E746*F746,2)</f>
        <v>2.2000000000000002</v>
      </c>
      <c r="H746" s="122"/>
    </row>
    <row r="747" spans="1:8" ht="20.399999999999999">
      <c r="A747" s="309" t="s">
        <v>1293</v>
      </c>
      <c r="B747" s="297" t="s">
        <v>1294</v>
      </c>
      <c r="C747" s="293" t="s">
        <v>1292</v>
      </c>
      <c r="D747" s="293" t="s">
        <v>383</v>
      </c>
      <c r="E747" s="325">
        <v>1</v>
      </c>
      <c r="F747" s="816">
        <v>0.71</v>
      </c>
      <c r="G747" s="312">
        <f t="shared" si="34"/>
        <v>0.71</v>
      </c>
      <c r="H747" s="122"/>
    </row>
    <row r="748" spans="1:8" ht="20.399999999999999">
      <c r="A748" s="309" t="s">
        <v>1295</v>
      </c>
      <c r="B748" s="297" t="s">
        <v>1296</v>
      </c>
      <c r="C748" s="293" t="s">
        <v>1292</v>
      </c>
      <c r="D748" s="293" t="s">
        <v>383</v>
      </c>
      <c r="E748" s="325">
        <v>1</v>
      </c>
      <c r="F748" s="816">
        <v>0.35</v>
      </c>
      <c r="G748" s="296">
        <f t="shared" si="34"/>
        <v>0.35</v>
      </c>
      <c r="H748" s="122"/>
    </row>
    <row r="749" spans="1:8" ht="20.399999999999999">
      <c r="A749" s="309" t="s">
        <v>1297</v>
      </c>
      <c r="B749" s="297" t="s">
        <v>1298</v>
      </c>
      <c r="C749" s="293" t="s">
        <v>1292</v>
      </c>
      <c r="D749" s="293" t="s">
        <v>383</v>
      </c>
      <c r="E749" s="325">
        <v>1</v>
      </c>
      <c r="F749" s="816">
        <v>7.0000000000000007E-2</v>
      </c>
      <c r="G749" s="296">
        <f t="shared" si="34"/>
        <v>7.0000000000000007E-2</v>
      </c>
      <c r="H749" s="122"/>
    </row>
    <row r="750" spans="1:8">
      <c r="A750" s="309" t="s">
        <v>1467</v>
      </c>
      <c r="B750" s="297" t="s">
        <v>1197</v>
      </c>
      <c r="C750" s="293" t="s">
        <v>87</v>
      </c>
      <c r="D750" s="293" t="s">
        <v>383</v>
      </c>
      <c r="E750" s="325">
        <v>1</v>
      </c>
      <c r="F750" s="816">
        <v>0.01</v>
      </c>
      <c r="G750" s="296">
        <f t="shared" si="34"/>
        <v>0.01</v>
      </c>
      <c r="H750" s="122"/>
    </row>
    <row r="751" spans="1:8" ht="14.1" customHeight="1">
      <c r="A751" s="309" t="s">
        <v>1299</v>
      </c>
      <c r="B751" s="297" t="s">
        <v>1223</v>
      </c>
      <c r="C751" s="293" t="s">
        <v>87</v>
      </c>
      <c r="D751" s="293" t="s">
        <v>383</v>
      </c>
      <c r="E751" s="325">
        <v>1</v>
      </c>
      <c r="F751" s="816">
        <v>0.66</v>
      </c>
      <c r="G751" s="312">
        <f t="shared" si="34"/>
        <v>0.66</v>
      </c>
      <c r="H751" s="122"/>
    </row>
    <row r="752" spans="1:8" ht="30.6">
      <c r="A752" s="309">
        <v>95343</v>
      </c>
      <c r="B752" s="297" t="s">
        <v>2054</v>
      </c>
      <c r="C752" s="293" t="s">
        <v>104</v>
      </c>
      <c r="D752" s="293" t="s">
        <v>383</v>
      </c>
      <c r="E752" s="325">
        <v>1</v>
      </c>
      <c r="F752" s="816">
        <v>0.11</v>
      </c>
      <c r="G752" s="312">
        <f t="shared" si="34"/>
        <v>0.11</v>
      </c>
      <c r="H752" s="122"/>
    </row>
    <row r="753" spans="1:8" ht="14.1" customHeight="1">
      <c r="C753" s="124"/>
      <c r="D753" s="328"/>
      <c r="E753" s="300"/>
      <c r="F753" s="301" t="s">
        <v>90</v>
      </c>
      <c r="G753" s="312">
        <f>G745+G752</f>
        <v>11.11</v>
      </c>
      <c r="H753" s="122"/>
    </row>
    <row r="754" spans="1:8" ht="14.1" customHeight="1">
      <c r="C754" s="124"/>
      <c r="E754" s="300"/>
      <c r="F754" s="301" t="s">
        <v>92</v>
      </c>
      <c r="G754" s="312">
        <f>SUM(G746:G751)</f>
        <v>4</v>
      </c>
      <c r="H754" s="122"/>
    </row>
    <row r="755" spans="1:8" ht="14.1" customHeight="1">
      <c r="A755" s="302"/>
      <c r="C755" s="124"/>
      <c r="D755" s="319"/>
      <c r="E755" s="300"/>
      <c r="F755" s="301" t="s">
        <v>93</v>
      </c>
      <c r="G755" s="811">
        <f>SUM(G753:G754)</f>
        <v>15.11</v>
      </c>
      <c r="H755" s="122"/>
    </row>
    <row r="756" spans="1:8">
      <c r="A756" s="305"/>
      <c r="B756" s="306"/>
      <c r="C756" s="308"/>
      <c r="D756" s="305"/>
      <c r="E756" s="306"/>
      <c r="F756" s="306"/>
      <c r="G756" s="306"/>
      <c r="H756" s="305"/>
    </row>
    <row r="758" spans="1:8">
      <c r="A758" s="122" t="s">
        <v>2710</v>
      </c>
      <c r="C758" s="124"/>
      <c r="D758" s="122"/>
      <c r="E758" s="128"/>
      <c r="H758" s="122"/>
    </row>
    <row r="759" spans="1:8">
      <c r="A759" s="122" t="s">
        <v>33</v>
      </c>
      <c r="B759" s="149" t="s">
        <v>2278</v>
      </c>
      <c r="C759" s="124"/>
      <c r="D759" s="122"/>
      <c r="E759" s="128"/>
      <c r="H759" s="122"/>
    </row>
    <row r="760" spans="1:8" ht="22.5" customHeight="1">
      <c r="A760" s="122" t="s">
        <v>76</v>
      </c>
      <c r="B760" s="1161" t="s">
        <v>858</v>
      </c>
      <c r="C760" s="1161"/>
      <c r="D760" s="318" t="s">
        <v>383</v>
      </c>
      <c r="H760" s="122"/>
    </row>
    <row r="761" spans="1:8" ht="20.399999999999999">
      <c r="A761" s="323" t="s">
        <v>30</v>
      </c>
      <c r="B761" s="297" t="s">
        <v>19</v>
      </c>
      <c r="C761" s="293" t="s">
        <v>81</v>
      </c>
      <c r="D761" s="293" t="s">
        <v>77</v>
      </c>
      <c r="E761" s="294" t="s">
        <v>82</v>
      </c>
      <c r="F761" s="295" t="s">
        <v>83</v>
      </c>
      <c r="G761" s="324" t="s">
        <v>84</v>
      </c>
      <c r="H761" s="122"/>
    </row>
    <row r="762" spans="1:8" ht="14.1" customHeight="1">
      <c r="A762" s="309" t="s">
        <v>2279</v>
      </c>
      <c r="B762" s="297" t="s">
        <v>2280</v>
      </c>
      <c r="C762" s="293" t="s">
        <v>104</v>
      </c>
      <c r="D762" s="293" t="s">
        <v>383</v>
      </c>
      <c r="E762" s="325">
        <v>1</v>
      </c>
      <c r="F762" s="891">
        <v>10.4</v>
      </c>
      <c r="G762" s="312">
        <f>TRUNC(E762*F762,2)</f>
        <v>10.4</v>
      </c>
      <c r="H762" s="122"/>
    </row>
    <row r="763" spans="1:8" ht="20.399999999999999">
      <c r="A763" s="309" t="s">
        <v>1290</v>
      </c>
      <c r="B763" s="297" t="s">
        <v>1291</v>
      </c>
      <c r="C763" s="293" t="s">
        <v>1292</v>
      </c>
      <c r="D763" s="293" t="s">
        <v>383</v>
      </c>
      <c r="E763" s="325">
        <v>1</v>
      </c>
      <c r="F763" s="816">
        <v>2.2000000000000002</v>
      </c>
      <c r="G763" s="296">
        <f t="shared" ref="G763:G769" si="35">TRUNC(E763*F763,2)</f>
        <v>2.2000000000000002</v>
      </c>
      <c r="H763" s="122"/>
    </row>
    <row r="764" spans="1:8" ht="20.399999999999999">
      <c r="A764" s="309" t="s">
        <v>1293</v>
      </c>
      <c r="B764" s="297" t="s">
        <v>1294</v>
      </c>
      <c r="C764" s="293" t="s">
        <v>1292</v>
      </c>
      <c r="D764" s="293" t="s">
        <v>383</v>
      </c>
      <c r="E764" s="325">
        <v>1</v>
      </c>
      <c r="F764" s="816">
        <v>0.71</v>
      </c>
      <c r="G764" s="312">
        <f t="shared" si="35"/>
        <v>0.71</v>
      </c>
      <c r="H764" s="122"/>
    </row>
    <row r="765" spans="1:8" ht="20.399999999999999">
      <c r="A765" s="309" t="s">
        <v>1295</v>
      </c>
      <c r="B765" s="297" t="s">
        <v>1296</v>
      </c>
      <c r="C765" s="293" t="s">
        <v>1292</v>
      </c>
      <c r="D765" s="293" t="s">
        <v>383</v>
      </c>
      <c r="E765" s="325">
        <v>1</v>
      </c>
      <c r="F765" s="816">
        <v>0.35</v>
      </c>
      <c r="G765" s="296">
        <f t="shared" si="35"/>
        <v>0.35</v>
      </c>
      <c r="H765" s="122"/>
    </row>
    <row r="766" spans="1:8" ht="20.399999999999999">
      <c r="A766" s="309" t="s">
        <v>1297</v>
      </c>
      <c r="B766" s="297" t="s">
        <v>1298</v>
      </c>
      <c r="C766" s="293" t="s">
        <v>1292</v>
      </c>
      <c r="D766" s="293" t="s">
        <v>383</v>
      </c>
      <c r="E766" s="325">
        <v>1</v>
      </c>
      <c r="F766" s="816">
        <v>7.0000000000000007E-2</v>
      </c>
      <c r="G766" s="296">
        <f t="shared" si="35"/>
        <v>7.0000000000000007E-2</v>
      </c>
      <c r="H766" s="122"/>
    </row>
    <row r="767" spans="1:8">
      <c r="A767" s="309" t="s">
        <v>1467</v>
      </c>
      <c r="B767" s="297" t="s">
        <v>1197</v>
      </c>
      <c r="C767" s="293" t="s">
        <v>87</v>
      </c>
      <c r="D767" s="293" t="s">
        <v>383</v>
      </c>
      <c r="E767" s="325">
        <v>1</v>
      </c>
      <c r="F767" s="816">
        <v>0.44</v>
      </c>
      <c r="G767" s="296">
        <f t="shared" si="35"/>
        <v>0.44</v>
      </c>
      <c r="H767" s="122"/>
    </row>
    <row r="768" spans="1:8" ht="14.1" customHeight="1">
      <c r="A768" s="309" t="s">
        <v>1299</v>
      </c>
      <c r="B768" s="297" t="s">
        <v>1223</v>
      </c>
      <c r="C768" s="293" t="s">
        <v>87</v>
      </c>
      <c r="D768" s="293" t="s">
        <v>383</v>
      </c>
      <c r="E768" s="325">
        <v>1</v>
      </c>
      <c r="F768" s="816">
        <f>'COMP AUX'!G38</f>
        <v>0.98</v>
      </c>
      <c r="G768" s="312">
        <f t="shared" si="35"/>
        <v>0.98</v>
      </c>
      <c r="H768" s="122"/>
    </row>
    <row r="769" spans="1:8" ht="20.399999999999999">
      <c r="A769" s="309">
        <v>95344</v>
      </c>
      <c r="B769" s="297" t="s">
        <v>2281</v>
      </c>
      <c r="C769" s="293" t="s">
        <v>104</v>
      </c>
      <c r="D769" s="293" t="s">
        <v>383</v>
      </c>
      <c r="E769" s="325">
        <v>1</v>
      </c>
      <c r="F769" s="816">
        <f>G782</f>
        <v>0.09</v>
      </c>
      <c r="G769" s="312">
        <f t="shared" si="35"/>
        <v>0.09</v>
      </c>
      <c r="H769" s="122"/>
    </row>
    <row r="770" spans="1:8" ht="14.1" customHeight="1">
      <c r="C770" s="124"/>
      <c r="D770" s="328"/>
      <c r="E770" s="300"/>
      <c r="F770" s="301" t="s">
        <v>90</v>
      </c>
      <c r="G770" s="312">
        <f>G762+G769</f>
        <v>10.49</v>
      </c>
      <c r="H770" s="122"/>
    </row>
    <row r="771" spans="1:8" ht="14.1" customHeight="1">
      <c r="C771" s="124"/>
      <c r="E771" s="300"/>
      <c r="F771" s="301" t="s">
        <v>92</v>
      </c>
      <c r="G771" s="312">
        <f>SUM(G763:G768)</f>
        <v>4.75</v>
      </c>
      <c r="H771" s="122"/>
    </row>
    <row r="772" spans="1:8" ht="14.1" customHeight="1">
      <c r="A772" s="302"/>
      <c r="C772" s="124"/>
      <c r="D772" s="319"/>
      <c r="E772" s="300"/>
      <c r="F772" s="301" t="s">
        <v>93</v>
      </c>
      <c r="G772" s="820">
        <f>SUM(G770:G771)</f>
        <v>15.24</v>
      </c>
      <c r="H772" s="122"/>
    </row>
    <row r="773" spans="1:8">
      <c r="A773" s="305"/>
      <c r="B773" s="306"/>
      <c r="C773" s="308"/>
      <c r="D773" s="305"/>
      <c r="E773" s="306"/>
      <c r="F773" s="306"/>
      <c r="G773" s="306"/>
      <c r="H773" s="305"/>
    </row>
    <row r="775" spans="1:8">
      <c r="A775" s="122" t="s">
        <v>1194</v>
      </c>
    </row>
    <row r="776" spans="1:8">
      <c r="A776" s="122" t="s">
        <v>1195</v>
      </c>
      <c r="B776" s="149" t="s">
        <v>2282</v>
      </c>
      <c r="C776" s="123"/>
    </row>
    <row r="777" spans="1:8" ht="24.75" customHeight="1">
      <c r="A777" s="122" t="s">
        <v>76</v>
      </c>
      <c r="B777" s="1161" t="s">
        <v>2281</v>
      </c>
      <c r="C777" s="1161"/>
      <c r="D777" s="150" t="s">
        <v>383</v>
      </c>
      <c r="E777" s="289" t="s">
        <v>2</v>
      </c>
      <c r="F777" s="289"/>
      <c r="G777" s="289"/>
    </row>
    <row r="778" spans="1:8" ht="20.399999999999999">
      <c r="A778" s="291" t="s">
        <v>30</v>
      </c>
      <c r="B778" s="292" t="s">
        <v>19</v>
      </c>
      <c r="C778" s="293" t="s">
        <v>81</v>
      </c>
      <c r="D778" s="293" t="s">
        <v>77</v>
      </c>
      <c r="E778" s="294" t="s">
        <v>82</v>
      </c>
      <c r="F778" s="295" t="s">
        <v>83</v>
      </c>
      <c r="G778" s="296" t="s">
        <v>84</v>
      </c>
    </row>
    <row r="779" spans="1:8">
      <c r="A779" s="309" t="s">
        <v>2279</v>
      </c>
      <c r="B779" s="297" t="s">
        <v>2280</v>
      </c>
      <c r="C779" s="295" t="s">
        <v>104</v>
      </c>
      <c r="D779" s="293" t="s">
        <v>383</v>
      </c>
      <c r="E779" s="294">
        <v>9.2999999999999992E-3</v>
      </c>
      <c r="F779" s="326">
        <v>10.4</v>
      </c>
      <c r="G779" s="296">
        <f>TRUNC(E779*F779,2)</f>
        <v>0.09</v>
      </c>
    </row>
    <row r="780" spans="1:8">
      <c r="D780" s="299"/>
      <c r="E780" s="300"/>
      <c r="F780" s="301" t="s">
        <v>90</v>
      </c>
      <c r="G780" s="296">
        <f>G779</f>
        <v>0.09</v>
      </c>
    </row>
    <row r="781" spans="1:8">
      <c r="D781" s="299"/>
      <c r="E781" s="300"/>
      <c r="F781" s="301" t="s">
        <v>92</v>
      </c>
      <c r="G781" s="296"/>
    </row>
    <row r="782" spans="1:8">
      <c r="A782" s="302"/>
      <c r="D782" s="299"/>
      <c r="E782" s="300"/>
      <c r="F782" s="301" t="s">
        <v>93</v>
      </c>
      <c r="G782" s="303">
        <f>SUM(G780:G781)</f>
        <v>0.09</v>
      </c>
      <c r="H782" s="304"/>
    </row>
    <row r="783" spans="1:8">
      <c r="A783" s="305"/>
      <c r="B783" s="306"/>
      <c r="C783" s="307"/>
      <c r="D783" s="308"/>
      <c r="E783" s="305"/>
      <c r="F783" s="306"/>
      <c r="G783" s="306"/>
      <c r="H783" s="306"/>
    </row>
    <row r="785" spans="1:8">
      <c r="A785" s="122" t="s">
        <v>1194</v>
      </c>
    </row>
    <row r="786" spans="1:8">
      <c r="A786" s="122" t="s">
        <v>1195</v>
      </c>
      <c r="B786" s="149" t="s">
        <v>2055</v>
      </c>
      <c r="C786" s="123"/>
    </row>
    <row r="787" spans="1:8" ht="30" customHeight="1">
      <c r="A787" s="122" t="s">
        <v>76</v>
      </c>
      <c r="B787" s="1161" t="s">
        <v>2054</v>
      </c>
      <c r="C787" s="1161"/>
      <c r="D787" s="150" t="s">
        <v>383</v>
      </c>
      <c r="E787" s="289" t="s">
        <v>2</v>
      </c>
      <c r="F787" s="289"/>
      <c r="G787" s="289"/>
    </row>
    <row r="788" spans="1:8" ht="20.399999999999999">
      <c r="A788" s="291" t="s">
        <v>30</v>
      </c>
      <c r="B788" s="292" t="s">
        <v>19</v>
      </c>
      <c r="C788" s="293" t="s">
        <v>81</v>
      </c>
      <c r="D788" s="293" t="s">
        <v>77</v>
      </c>
      <c r="E788" s="294" t="s">
        <v>82</v>
      </c>
      <c r="F788" s="295" t="s">
        <v>83</v>
      </c>
      <c r="G788" s="296" t="s">
        <v>84</v>
      </c>
    </row>
    <row r="789" spans="1:8" ht="14.1" customHeight="1">
      <c r="A789" s="309">
        <v>2701</v>
      </c>
      <c r="B789" s="297" t="s">
        <v>2053</v>
      </c>
      <c r="C789" s="295" t="s">
        <v>104</v>
      </c>
      <c r="D789" s="293" t="s">
        <v>383</v>
      </c>
      <c r="E789" s="294">
        <v>1.1900000000000001E-2</v>
      </c>
      <c r="F789" s="326">
        <f>11.27</f>
        <v>11.27</v>
      </c>
      <c r="G789" s="296">
        <f>TRUNC(E789*F789,2)</f>
        <v>0.13</v>
      </c>
    </row>
    <row r="790" spans="1:8" ht="14.1" customHeight="1">
      <c r="D790" s="299"/>
      <c r="E790" s="300"/>
      <c r="F790" s="301" t="s">
        <v>90</v>
      </c>
      <c r="G790" s="296">
        <f>G789</f>
        <v>0.13</v>
      </c>
    </row>
    <row r="791" spans="1:8" ht="14.1" customHeight="1">
      <c r="D791" s="299"/>
      <c r="E791" s="300"/>
      <c r="F791" s="301" t="s">
        <v>92</v>
      </c>
      <c r="G791" s="296"/>
    </row>
    <row r="792" spans="1:8" ht="14.1" customHeight="1">
      <c r="A792" s="302"/>
      <c r="D792" s="299"/>
      <c r="E792" s="300"/>
      <c r="F792" s="301" t="s">
        <v>93</v>
      </c>
      <c r="G792" s="303">
        <f>SUM(G790:G791)</f>
        <v>0.13</v>
      </c>
      <c r="H792" s="304"/>
    </row>
    <row r="793" spans="1:8">
      <c r="A793" s="305"/>
      <c r="B793" s="306"/>
      <c r="C793" s="307"/>
      <c r="D793" s="308"/>
      <c r="E793" s="305"/>
      <c r="F793" s="306"/>
      <c r="G793" s="306"/>
      <c r="H793" s="306"/>
    </row>
    <row r="795" spans="1:8">
      <c r="A795" s="122" t="s">
        <v>1194</v>
      </c>
    </row>
    <row r="796" spans="1:8">
      <c r="A796" s="122" t="s">
        <v>1195</v>
      </c>
      <c r="B796" s="149" t="s">
        <v>1301</v>
      </c>
      <c r="C796" s="123"/>
    </row>
    <row r="797" spans="1:8" ht="28.5" customHeight="1">
      <c r="A797" s="122" t="s">
        <v>76</v>
      </c>
      <c r="B797" s="1161" t="s">
        <v>1300</v>
      </c>
      <c r="C797" s="1161"/>
      <c r="D797" s="150" t="s">
        <v>383</v>
      </c>
      <c r="E797" s="289" t="s">
        <v>2</v>
      </c>
      <c r="F797" s="289"/>
      <c r="G797" s="289"/>
    </row>
    <row r="798" spans="1:8" ht="20.399999999999999">
      <c r="A798" s="291" t="s">
        <v>30</v>
      </c>
      <c r="B798" s="292" t="s">
        <v>19</v>
      </c>
      <c r="C798" s="293" t="s">
        <v>81</v>
      </c>
      <c r="D798" s="293" t="s">
        <v>77</v>
      </c>
      <c r="E798" s="294" t="s">
        <v>82</v>
      </c>
      <c r="F798" s="295" t="s">
        <v>83</v>
      </c>
      <c r="G798" s="296" t="s">
        <v>84</v>
      </c>
    </row>
    <row r="799" spans="1:8" ht="20.399999999999999">
      <c r="A799" s="309">
        <v>4230</v>
      </c>
      <c r="B799" s="297" t="s">
        <v>1289</v>
      </c>
      <c r="C799" s="295" t="s">
        <v>104</v>
      </c>
      <c r="D799" s="293" t="s">
        <v>383</v>
      </c>
      <c r="E799" s="294">
        <v>9.2999999999999992E-3</v>
      </c>
      <c r="F799" s="326">
        <f>11.19</f>
        <v>11.19</v>
      </c>
      <c r="G799" s="296">
        <f>TRUNC(E799*F799,2)</f>
        <v>0.1</v>
      </c>
    </row>
    <row r="800" spans="1:8" ht="14.1" customHeight="1">
      <c r="D800" s="299"/>
      <c r="E800" s="300"/>
      <c r="F800" s="301" t="s">
        <v>90</v>
      </c>
      <c r="G800" s="296">
        <f>G799</f>
        <v>0.1</v>
      </c>
    </row>
    <row r="801" spans="1:9" ht="14.1" customHeight="1">
      <c r="D801" s="299"/>
      <c r="E801" s="300"/>
      <c r="F801" s="301" t="s">
        <v>92</v>
      </c>
      <c r="G801" s="296"/>
    </row>
    <row r="802" spans="1:9" ht="14.1" customHeight="1">
      <c r="A802" s="302"/>
      <c r="D802" s="299"/>
      <c r="E802" s="300"/>
      <c r="F802" s="301" t="s">
        <v>93</v>
      </c>
      <c r="G802" s="303">
        <f>SUM(G800:G801)</f>
        <v>0.1</v>
      </c>
      <c r="H802" s="304"/>
    </row>
    <row r="803" spans="1:9">
      <c r="A803" s="305"/>
      <c r="B803" s="306"/>
      <c r="C803" s="307"/>
      <c r="D803" s="308"/>
      <c r="E803" s="305"/>
      <c r="F803" s="306"/>
      <c r="G803" s="306"/>
      <c r="H803" s="306"/>
      <c r="I803" s="305"/>
    </row>
    <row r="805" spans="1:9">
      <c r="A805" s="122" t="s">
        <v>1194</v>
      </c>
    </row>
    <row r="806" spans="1:9">
      <c r="A806" s="122" t="s">
        <v>1195</v>
      </c>
      <c r="B806" s="149" t="s">
        <v>1302</v>
      </c>
      <c r="C806" s="123"/>
    </row>
    <row r="807" spans="1:9" ht="30.75" customHeight="1">
      <c r="A807" s="122" t="s">
        <v>76</v>
      </c>
      <c r="B807" s="1161" t="s">
        <v>1280</v>
      </c>
      <c r="C807" s="1161"/>
      <c r="D807" s="150" t="s">
        <v>383</v>
      </c>
      <c r="E807" s="289" t="s">
        <v>2</v>
      </c>
      <c r="F807" s="289"/>
      <c r="G807" s="289"/>
    </row>
    <row r="808" spans="1:9" ht="20.399999999999999">
      <c r="A808" s="291" t="s">
        <v>30</v>
      </c>
      <c r="B808" s="292" t="s">
        <v>19</v>
      </c>
      <c r="C808" s="293" t="s">
        <v>81</v>
      </c>
      <c r="D808" s="293" t="s">
        <v>77</v>
      </c>
      <c r="E808" s="294" t="s">
        <v>82</v>
      </c>
      <c r="F808" s="295" t="s">
        <v>83</v>
      </c>
      <c r="G808" s="296" t="s">
        <v>84</v>
      </c>
    </row>
    <row r="809" spans="1:9" ht="27" customHeight="1">
      <c r="A809" s="309" t="s">
        <v>1303</v>
      </c>
      <c r="B809" s="297" t="s">
        <v>1304</v>
      </c>
      <c r="C809" s="295" t="s">
        <v>1260</v>
      </c>
      <c r="D809" s="293" t="s">
        <v>383</v>
      </c>
      <c r="E809" s="294">
        <v>5.3300000000000001E-5</v>
      </c>
      <c r="F809" s="315">
        <v>12083.1</v>
      </c>
      <c r="G809" s="296">
        <f>TRUNC(E809*F809,2)</f>
        <v>0.64</v>
      </c>
    </row>
    <row r="810" spans="1:9" ht="14.1" customHeight="1">
      <c r="D810" s="299"/>
      <c r="E810" s="300"/>
      <c r="F810" s="301" t="s">
        <v>90</v>
      </c>
      <c r="G810" s="296"/>
    </row>
    <row r="811" spans="1:9" ht="14.1" customHeight="1">
      <c r="D811" s="299"/>
      <c r="E811" s="300"/>
      <c r="F811" s="301" t="s">
        <v>92</v>
      </c>
      <c r="G811" s="296">
        <f>G809</f>
        <v>0.64</v>
      </c>
    </row>
    <row r="812" spans="1:9" ht="14.1" customHeight="1">
      <c r="A812" s="302"/>
      <c r="D812" s="299"/>
      <c r="E812" s="300"/>
      <c r="F812" s="301" t="s">
        <v>93</v>
      </c>
      <c r="G812" s="303">
        <f>SUM(G810:G811)</f>
        <v>0.64</v>
      </c>
      <c r="H812" s="304"/>
    </row>
    <row r="813" spans="1:9">
      <c r="A813" s="305"/>
      <c r="B813" s="306"/>
      <c r="C813" s="307"/>
      <c r="D813" s="308"/>
      <c r="E813" s="305"/>
      <c r="F813" s="306"/>
      <c r="G813" s="306"/>
      <c r="H813" s="306"/>
      <c r="I813" s="305"/>
    </row>
    <row r="815" spans="1:9">
      <c r="A815" s="122" t="s">
        <v>1194</v>
      </c>
    </row>
    <row r="816" spans="1:9">
      <c r="A816" s="122" t="s">
        <v>1195</v>
      </c>
      <c r="B816" s="149" t="s">
        <v>1305</v>
      </c>
      <c r="C816" s="123"/>
    </row>
    <row r="817" spans="1:9" ht="27" customHeight="1">
      <c r="A817" s="122" t="s">
        <v>76</v>
      </c>
      <c r="B817" s="1161" t="s">
        <v>1306</v>
      </c>
      <c r="C817" s="1161"/>
      <c r="D817" s="495" t="s">
        <v>383</v>
      </c>
      <c r="E817" s="289" t="s">
        <v>2</v>
      </c>
      <c r="F817" s="289"/>
      <c r="G817" s="289"/>
    </row>
    <row r="818" spans="1:9" ht="20.399999999999999">
      <c r="A818" s="291" t="s">
        <v>30</v>
      </c>
      <c r="B818" s="292" t="s">
        <v>19</v>
      </c>
      <c r="C818" s="293" t="s">
        <v>81</v>
      </c>
      <c r="D818" s="293" t="s">
        <v>77</v>
      </c>
      <c r="E818" s="294" t="s">
        <v>82</v>
      </c>
      <c r="F818" s="295" t="s">
        <v>83</v>
      </c>
      <c r="G818" s="296" t="s">
        <v>84</v>
      </c>
    </row>
    <row r="819" spans="1:9" ht="20.399999999999999">
      <c r="A819" s="309" t="s">
        <v>1303</v>
      </c>
      <c r="B819" s="297" t="s">
        <v>1304</v>
      </c>
      <c r="C819" s="295" t="s">
        <v>1260</v>
      </c>
      <c r="D819" s="293" t="s">
        <v>383</v>
      </c>
      <c r="E819" s="294">
        <v>1.4E-5</v>
      </c>
      <c r="F819" s="315">
        <v>12083.1</v>
      </c>
      <c r="G819" s="296">
        <f>TRUNC(E819*F819,2)</f>
        <v>0.16</v>
      </c>
    </row>
    <row r="820" spans="1:9" ht="14.1" customHeight="1">
      <c r="D820" s="299"/>
      <c r="E820" s="300"/>
      <c r="F820" s="301" t="s">
        <v>90</v>
      </c>
      <c r="G820" s="296"/>
    </row>
    <row r="821" spans="1:9" ht="14.1" customHeight="1">
      <c r="D821" s="299"/>
      <c r="E821" s="300"/>
      <c r="F821" s="301" t="s">
        <v>92</v>
      </c>
      <c r="G821" s="296">
        <f>G819</f>
        <v>0.16</v>
      </c>
    </row>
    <row r="822" spans="1:9" ht="14.1" customHeight="1">
      <c r="A822" s="302"/>
      <c r="D822" s="299"/>
      <c r="E822" s="300"/>
      <c r="F822" s="301" t="s">
        <v>93</v>
      </c>
      <c r="G822" s="303">
        <f>SUM(G820:G821)</f>
        <v>0.16</v>
      </c>
      <c r="H822" s="304"/>
    </row>
    <row r="823" spans="1:9">
      <c r="A823" s="305"/>
      <c r="B823" s="306"/>
      <c r="C823" s="307"/>
      <c r="D823" s="308"/>
      <c r="E823" s="305"/>
      <c r="F823" s="306"/>
      <c r="G823" s="306"/>
      <c r="H823" s="306"/>
      <c r="I823" s="305"/>
    </row>
    <row r="825" spans="1:9">
      <c r="A825" s="122" t="s">
        <v>1194</v>
      </c>
    </row>
    <row r="826" spans="1:9">
      <c r="A826" s="122" t="s">
        <v>1195</v>
      </c>
      <c r="B826" s="149" t="s">
        <v>1307</v>
      </c>
      <c r="C826" s="123"/>
    </row>
    <row r="827" spans="1:9" ht="29.25" customHeight="1">
      <c r="A827" s="122" t="s">
        <v>76</v>
      </c>
      <c r="B827" s="1161" t="s">
        <v>1308</v>
      </c>
      <c r="C827" s="1161"/>
      <c r="D827" s="495" t="s">
        <v>383</v>
      </c>
      <c r="E827" s="289" t="s">
        <v>2</v>
      </c>
      <c r="F827" s="289"/>
      <c r="G827" s="289"/>
    </row>
    <row r="828" spans="1:9" ht="20.399999999999999">
      <c r="A828" s="291" t="s">
        <v>30</v>
      </c>
      <c r="B828" s="292" t="s">
        <v>19</v>
      </c>
      <c r="C828" s="293" t="s">
        <v>81</v>
      </c>
      <c r="D828" s="293" t="s">
        <v>77</v>
      </c>
      <c r="E828" s="294" t="s">
        <v>82</v>
      </c>
      <c r="F828" s="295" t="s">
        <v>83</v>
      </c>
      <c r="G828" s="296" t="s">
        <v>84</v>
      </c>
    </row>
    <row r="829" spans="1:9" ht="20.399999999999999">
      <c r="A829" s="309" t="s">
        <v>1303</v>
      </c>
      <c r="B829" s="297" t="s">
        <v>1304</v>
      </c>
      <c r="C829" s="295" t="s">
        <v>1260</v>
      </c>
      <c r="D829" s="293" t="s">
        <v>383</v>
      </c>
      <c r="E829" s="294">
        <v>6.6699999999999995E-5</v>
      </c>
      <c r="F829" s="315">
        <v>12083.1</v>
      </c>
      <c r="G829" s="312">
        <f>TRUNC(E829*F829,2)</f>
        <v>0.8</v>
      </c>
    </row>
    <row r="830" spans="1:9" ht="14.1" customHeight="1">
      <c r="D830" s="299"/>
      <c r="E830" s="300"/>
      <c r="F830" s="301" t="s">
        <v>90</v>
      </c>
      <c r="G830" s="312"/>
    </row>
    <row r="831" spans="1:9" ht="14.1" customHeight="1">
      <c r="D831" s="299"/>
      <c r="E831" s="300"/>
      <c r="F831" s="301" t="s">
        <v>92</v>
      </c>
      <c r="G831" s="312">
        <f>G829</f>
        <v>0.8</v>
      </c>
    </row>
    <row r="832" spans="1:9" ht="14.1" customHeight="1">
      <c r="A832" s="302"/>
      <c r="D832" s="299"/>
      <c r="E832" s="300"/>
      <c r="F832" s="301" t="s">
        <v>93</v>
      </c>
      <c r="G832" s="313">
        <f>SUM(G830:G831)</f>
        <v>0.8</v>
      </c>
      <c r="H832" s="304"/>
    </row>
    <row r="833" spans="1:9">
      <c r="A833" s="305"/>
      <c r="B833" s="306"/>
      <c r="C833" s="307"/>
      <c r="D833" s="308"/>
      <c r="E833" s="305"/>
      <c r="F833" s="306"/>
      <c r="G833" s="306"/>
      <c r="H833" s="306"/>
      <c r="I833" s="305"/>
    </row>
    <row r="835" spans="1:9">
      <c r="A835" s="122" t="s">
        <v>1194</v>
      </c>
    </row>
    <row r="836" spans="1:9">
      <c r="A836" s="122" t="s">
        <v>1195</v>
      </c>
      <c r="B836" s="149" t="s">
        <v>1309</v>
      </c>
      <c r="C836" s="123"/>
    </row>
    <row r="837" spans="1:9" ht="27.75" customHeight="1">
      <c r="A837" s="122" t="s">
        <v>76</v>
      </c>
      <c r="B837" s="1161" t="s">
        <v>1310</v>
      </c>
      <c r="C837" s="1161"/>
      <c r="D837" s="495" t="s">
        <v>383</v>
      </c>
      <c r="E837" s="289" t="s">
        <v>2</v>
      </c>
      <c r="F837" s="289"/>
      <c r="G837" s="289"/>
    </row>
    <row r="838" spans="1:9" ht="20.399999999999999">
      <c r="A838" s="291" t="s">
        <v>30</v>
      </c>
      <c r="B838" s="292" t="s">
        <v>19</v>
      </c>
      <c r="C838" s="293" t="s">
        <v>81</v>
      </c>
      <c r="D838" s="293" t="s">
        <v>77</v>
      </c>
      <c r="E838" s="294" t="s">
        <v>82</v>
      </c>
      <c r="F838" s="295" t="s">
        <v>83</v>
      </c>
      <c r="G838" s="296" t="s">
        <v>84</v>
      </c>
    </row>
    <row r="839" spans="1:9" ht="14.1" customHeight="1">
      <c r="A839" s="309">
        <v>4222</v>
      </c>
      <c r="B839" s="297" t="s">
        <v>1311</v>
      </c>
      <c r="C839" s="295" t="s">
        <v>1260</v>
      </c>
      <c r="D839" s="293" t="s">
        <v>1207</v>
      </c>
      <c r="E839" s="294">
        <v>0.59</v>
      </c>
      <c r="F839" s="315">
        <v>4.2699999999999996</v>
      </c>
      <c r="G839" s="325">
        <f>TRUNC(E839*F839,2)</f>
        <v>2.5099999999999998</v>
      </c>
    </row>
    <row r="840" spans="1:9" ht="14.1" customHeight="1">
      <c r="D840" s="299"/>
      <c r="E840" s="300"/>
      <c r="F840" s="301" t="s">
        <v>90</v>
      </c>
      <c r="G840" s="325"/>
    </row>
    <row r="841" spans="1:9" ht="14.1" customHeight="1">
      <c r="D841" s="299"/>
      <c r="E841" s="300"/>
      <c r="F841" s="301" t="s">
        <v>92</v>
      </c>
      <c r="G841" s="325">
        <f>G839</f>
        <v>2.5099999999999998</v>
      </c>
    </row>
    <row r="842" spans="1:9" ht="14.1" customHeight="1">
      <c r="A842" s="302"/>
      <c r="D842" s="299"/>
      <c r="E842" s="300"/>
      <c r="F842" s="301" t="s">
        <v>93</v>
      </c>
      <c r="G842" s="329">
        <f>SUM(G840:G841)</f>
        <v>2.5099999999999998</v>
      </c>
      <c r="H842" s="304"/>
    </row>
    <row r="843" spans="1:9">
      <c r="A843" s="305"/>
      <c r="B843" s="306"/>
      <c r="C843" s="307"/>
      <c r="D843" s="308"/>
      <c r="E843" s="305"/>
      <c r="F843" s="306"/>
      <c r="G843" s="306"/>
      <c r="H843" s="306"/>
      <c r="I843" s="305"/>
    </row>
    <row r="845" spans="1:9">
      <c r="A845" s="122" t="s">
        <v>1194</v>
      </c>
    </row>
    <row r="846" spans="1:9">
      <c r="A846" s="122" t="s">
        <v>1195</v>
      </c>
      <c r="B846" s="148" t="s">
        <v>1312</v>
      </c>
      <c r="C846" s="123"/>
    </row>
    <row r="847" spans="1:9" ht="27" customHeight="1">
      <c r="A847" s="122" t="s">
        <v>76</v>
      </c>
      <c r="B847" s="1161" t="s">
        <v>1313</v>
      </c>
      <c r="C847" s="1161"/>
      <c r="D847" s="1161"/>
      <c r="E847" s="496" t="s">
        <v>1277</v>
      </c>
      <c r="F847" s="289"/>
      <c r="G847" s="289"/>
    </row>
    <row r="848" spans="1:9" ht="20.399999999999999">
      <c r="A848" s="291" t="s">
        <v>30</v>
      </c>
      <c r="B848" s="292" t="s">
        <v>19</v>
      </c>
      <c r="C848" s="293" t="s">
        <v>81</v>
      </c>
      <c r="D848" s="293" t="s">
        <v>77</v>
      </c>
      <c r="E848" s="294" t="s">
        <v>82</v>
      </c>
      <c r="F848" s="295" t="s">
        <v>83</v>
      </c>
      <c r="G848" s="296" t="s">
        <v>84</v>
      </c>
    </row>
    <row r="849" spans="1:9" ht="14.1" customHeight="1">
      <c r="A849" s="1159">
        <v>88297</v>
      </c>
      <c r="B849" s="1129" t="s">
        <v>1278</v>
      </c>
      <c r="C849" s="296" t="s">
        <v>104</v>
      </c>
      <c r="D849" s="1189" t="s">
        <v>383</v>
      </c>
      <c r="E849" s="1285">
        <v>1</v>
      </c>
      <c r="F849" s="825">
        <f>G736</f>
        <v>10.99</v>
      </c>
      <c r="G849" s="312">
        <f t="shared" ref="G849" si="36">TRUNC(E849*F849,2)</f>
        <v>10.99</v>
      </c>
    </row>
    <row r="850" spans="1:9" ht="14.1" customHeight="1">
      <c r="A850" s="1164"/>
      <c r="B850" s="1130"/>
      <c r="C850" s="296" t="s">
        <v>87</v>
      </c>
      <c r="D850" s="1190"/>
      <c r="E850" s="1286"/>
      <c r="F850" s="825">
        <f>G737</f>
        <v>3.99</v>
      </c>
      <c r="G850" s="312">
        <f>TRUNC(E849*F850,2)</f>
        <v>3.99</v>
      </c>
    </row>
    <row r="851" spans="1:9" ht="30.6">
      <c r="A851" s="291" t="s">
        <v>1279</v>
      </c>
      <c r="B851" s="297" t="s">
        <v>1280</v>
      </c>
      <c r="C851" s="294" t="s">
        <v>1260</v>
      </c>
      <c r="D851" s="293" t="s">
        <v>383</v>
      </c>
      <c r="E851" s="311">
        <v>1</v>
      </c>
      <c r="F851" s="828">
        <v>0.51</v>
      </c>
      <c r="G851" s="312">
        <f t="shared" ref="G851:G852" si="37">TRUNC(E851*F851,2)</f>
        <v>0.51</v>
      </c>
    </row>
    <row r="852" spans="1:9" ht="20.399999999999999">
      <c r="A852" s="291" t="s">
        <v>1281</v>
      </c>
      <c r="B852" s="297" t="s">
        <v>1282</v>
      </c>
      <c r="C852" s="294" t="s">
        <v>1260</v>
      </c>
      <c r="D852" s="293" t="s">
        <v>383</v>
      </c>
      <c r="E852" s="311">
        <v>1</v>
      </c>
      <c r="F852" s="828">
        <v>7.0000000000000007E-2</v>
      </c>
      <c r="G852" s="312">
        <f t="shared" si="37"/>
        <v>7.0000000000000007E-2</v>
      </c>
    </row>
    <row r="853" spans="1:9" ht="14.1" customHeight="1">
      <c r="D853" s="319"/>
      <c r="E853" s="320"/>
      <c r="F853" s="321" t="s">
        <v>90</v>
      </c>
      <c r="G853" s="322">
        <f>G849</f>
        <v>10.99</v>
      </c>
    </row>
    <row r="854" spans="1:9" ht="14.1" customHeight="1">
      <c r="A854" s="302"/>
      <c r="D854" s="299"/>
      <c r="E854" s="300"/>
      <c r="F854" s="301" t="s">
        <v>92</v>
      </c>
      <c r="G854" s="312">
        <f>SUM(G850:G852)</f>
        <v>4.57</v>
      </c>
    </row>
    <row r="855" spans="1:9" ht="14.1" customHeight="1">
      <c r="A855" s="302"/>
      <c r="F855" s="301" t="s">
        <v>93</v>
      </c>
      <c r="G855" s="820">
        <f>SUM(G853:G854)</f>
        <v>15.56</v>
      </c>
      <c r="H855" s="304"/>
    </row>
    <row r="856" spans="1:9">
      <c r="A856" s="305"/>
      <c r="B856" s="306"/>
      <c r="C856" s="307"/>
      <c r="D856" s="308"/>
      <c r="E856" s="305"/>
      <c r="F856" s="306"/>
      <c r="G856" s="306"/>
      <c r="H856" s="306"/>
      <c r="I856" s="305"/>
    </row>
    <row r="858" spans="1:9">
      <c r="A858" s="122" t="s">
        <v>1194</v>
      </c>
    </row>
    <row r="859" spans="1:9">
      <c r="A859" s="122" t="s">
        <v>1195</v>
      </c>
      <c r="B859" s="148" t="s">
        <v>1496</v>
      </c>
      <c r="C859" s="123"/>
    </row>
    <row r="860" spans="1:9" ht="23.25" customHeight="1">
      <c r="A860" s="122" t="s">
        <v>76</v>
      </c>
      <c r="B860" s="1161" t="s">
        <v>1497</v>
      </c>
      <c r="C860" s="1161"/>
      <c r="D860" s="1161"/>
      <c r="E860" s="495" t="s">
        <v>1316</v>
      </c>
      <c r="F860" s="289"/>
      <c r="G860" s="289"/>
    </row>
    <row r="861" spans="1:9" ht="20.399999999999999">
      <c r="A861" s="291" t="s">
        <v>30</v>
      </c>
      <c r="B861" s="297" t="s">
        <v>19</v>
      </c>
      <c r="C861" s="293" t="s">
        <v>81</v>
      </c>
      <c r="D861" s="293" t="s">
        <v>77</v>
      </c>
      <c r="E861" s="294" t="s">
        <v>82</v>
      </c>
      <c r="F861" s="295" t="s">
        <v>83</v>
      </c>
      <c r="G861" s="296" t="s">
        <v>84</v>
      </c>
    </row>
    <row r="862" spans="1:9" ht="20.399999999999999">
      <c r="A862" s="330" t="s">
        <v>1317</v>
      </c>
      <c r="B862" s="331" t="s">
        <v>1318</v>
      </c>
      <c r="C862" s="296" t="s">
        <v>87</v>
      </c>
      <c r="D862" s="332" t="s">
        <v>1316</v>
      </c>
      <c r="E862" s="333">
        <v>0.85899999999999999</v>
      </c>
      <c r="F862" s="298">
        <v>56.25</v>
      </c>
      <c r="G862" s="312">
        <f t="shared" ref="G862:G865" si="38">TRUNC(E862*F862,2)</f>
        <v>48.31</v>
      </c>
    </row>
    <row r="863" spans="1:9" ht="14.1" customHeight="1">
      <c r="A863" s="330" t="s">
        <v>1042</v>
      </c>
      <c r="B863" s="331" t="s">
        <v>1043</v>
      </c>
      <c r="C863" s="296" t="s">
        <v>87</v>
      </c>
      <c r="D863" s="332" t="s">
        <v>1319</v>
      </c>
      <c r="E863" s="334">
        <v>212.21</v>
      </c>
      <c r="F863" s="298">
        <v>0.49</v>
      </c>
      <c r="G863" s="312">
        <f t="shared" si="38"/>
        <v>103.98</v>
      </c>
    </row>
    <row r="864" spans="1:9" ht="20.399999999999999">
      <c r="A864" s="330" t="s">
        <v>1320</v>
      </c>
      <c r="B864" s="331" t="s">
        <v>1321</v>
      </c>
      <c r="C864" s="296" t="s">
        <v>87</v>
      </c>
      <c r="D864" s="332" t="s">
        <v>1316</v>
      </c>
      <c r="E864" s="334">
        <v>0.57899999999999996</v>
      </c>
      <c r="F864" s="298">
        <v>63.77</v>
      </c>
      <c r="G864" s="312">
        <f t="shared" si="38"/>
        <v>36.92</v>
      </c>
    </row>
    <row r="865" spans="1:9" ht="14.1" customHeight="1">
      <c r="A865" s="1159">
        <v>88316</v>
      </c>
      <c r="B865" s="1129" t="s">
        <v>110</v>
      </c>
      <c r="C865" s="296" t="s">
        <v>104</v>
      </c>
      <c r="D865" s="1189" t="s">
        <v>383</v>
      </c>
      <c r="E865" s="1287">
        <v>2.4500000000000002</v>
      </c>
      <c r="F865" s="298">
        <f>G104</f>
        <v>11.18</v>
      </c>
      <c r="G865" s="312">
        <f t="shared" si="38"/>
        <v>27.39</v>
      </c>
    </row>
    <row r="866" spans="1:9" ht="14.1" customHeight="1">
      <c r="A866" s="1164"/>
      <c r="B866" s="1130"/>
      <c r="C866" s="296" t="s">
        <v>87</v>
      </c>
      <c r="D866" s="1190"/>
      <c r="E866" s="1288"/>
      <c r="F866" s="298">
        <f>G105</f>
        <v>4.7300000000000004</v>
      </c>
      <c r="G866" s="312">
        <f>TRUNC(E865*F866,2)</f>
        <v>11.58</v>
      </c>
    </row>
    <row r="867" spans="1:9" ht="14.1" customHeight="1">
      <c r="A867" s="1159" t="s">
        <v>1323</v>
      </c>
      <c r="B867" s="1129" t="s">
        <v>1324</v>
      </c>
      <c r="C867" s="296" t="s">
        <v>104</v>
      </c>
      <c r="D867" s="1189" t="s">
        <v>383</v>
      </c>
      <c r="E867" s="1287">
        <v>1.55</v>
      </c>
      <c r="F867" s="298">
        <f>G941</f>
        <v>10.280000000000001</v>
      </c>
      <c r="G867" s="312">
        <f>TRUNC(E867*F867,2)</f>
        <v>15.93</v>
      </c>
    </row>
    <row r="868" spans="1:9" ht="14.1" customHeight="1">
      <c r="A868" s="1164"/>
      <c r="B868" s="1130"/>
      <c r="C868" s="296" t="s">
        <v>87</v>
      </c>
      <c r="D868" s="1190"/>
      <c r="E868" s="1288"/>
      <c r="F868" s="298">
        <f>G942</f>
        <v>3.99</v>
      </c>
      <c r="G868" s="312">
        <f>TRUNC(E867*F868,2)</f>
        <v>6.18</v>
      </c>
    </row>
    <row r="869" spans="1:9" ht="30.6">
      <c r="A869" s="330">
        <v>88830</v>
      </c>
      <c r="B869" s="331" t="s">
        <v>1498</v>
      </c>
      <c r="C869" s="296" t="s">
        <v>1260</v>
      </c>
      <c r="D869" s="332" t="s">
        <v>1277</v>
      </c>
      <c r="E869" s="334">
        <v>0.8</v>
      </c>
      <c r="F869" s="298">
        <f>G1223</f>
        <v>1.48</v>
      </c>
      <c r="G869" s="312">
        <f t="shared" ref="G869:G870" si="39">TRUNC(E869*F869,2)</f>
        <v>1.18</v>
      </c>
    </row>
    <row r="870" spans="1:9" ht="30.6">
      <c r="A870" s="330">
        <v>88831</v>
      </c>
      <c r="B870" s="331" t="s">
        <v>1499</v>
      </c>
      <c r="C870" s="296" t="s">
        <v>1260</v>
      </c>
      <c r="D870" s="332" t="s">
        <v>1256</v>
      </c>
      <c r="E870" s="334">
        <v>0.75</v>
      </c>
      <c r="F870" s="298">
        <f>G1285</f>
        <v>0.04</v>
      </c>
      <c r="G870" s="312">
        <f t="shared" si="39"/>
        <v>0.03</v>
      </c>
    </row>
    <row r="871" spans="1:9" ht="14.1" customHeight="1">
      <c r="D871" s="319"/>
      <c r="E871" s="320"/>
      <c r="F871" s="321" t="s">
        <v>90</v>
      </c>
      <c r="G871" s="322">
        <f>G865+G867</f>
        <v>43.32</v>
      </c>
    </row>
    <row r="872" spans="1:9" ht="14.1" customHeight="1">
      <c r="A872" s="302"/>
      <c r="D872" s="299"/>
      <c r="E872" s="300"/>
      <c r="F872" s="301" t="s">
        <v>92</v>
      </c>
      <c r="G872" s="312">
        <f>G862+G863+G864+G866+G868+G869+G870</f>
        <v>208.18000000000006</v>
      </c>
    </row>
    <row r="873" spans="1:9" ht="14.1" customHeight="1">
      <c r="A873" s="302"/>
      <c r="F873" s="301" t="s">
        <v>93</v>
      </c>
      <c r="G873" s="313">
        <f>SUM(G871:G872)</f>
        <v>251.50000000000006</v>
      </c>
      <c r="H873" s="304"/>
    </row>
    <row r="874" spans="1:9">
      <c r="A874" s="305"/>
      <c r="B874" s="306"/>
      <c r="C874" s="307"/>
      <c r="D874" s="308"/>
      <c r="E874" s="305"/>
      <c r="F874" s="306"/>
      <c r="G874" s="306"/>
      <c r="H874" s="306"/>
      <c r="I874" s="305"/>
    </row>
    <row r="876" spans="1:9">
      <c r="A876" s="826" t="s">
        <v>2709</v>
      </c>
    </row>
    <row r="877" spans="1:9">
      <c r="A877" s="122" t="s">
        <v>1195</v>
      </c>
      <c r="B877" s="148" t="s">
        <v>1784</v>
      </c>
      <c r="C877" s="123"/>
    </row>
    <row r="878" spans="1:9" ht="27.75" customHeight="1">
      <c r="A878" s="122" t="s">
        <v>76</v>
      </c>
      <c r="B878" s="1161" t="s">
        <v>1785</v>
      </c>
      <c r="C878" s="1161"/>
      <c r="D878" s="1161"/>
      <c r="E878" s="495" t="s">
        <v>1316</v>
      </c>
      <c r="F878" s="289"/>
      <c r="G878" s="289"/>
    </row>
    <row r="879" spans="1:9" ht="20.399999999999999">
      <c r="A879" s="291" t="s">
        <v>30</v>
      </c>
      <c r="B879" s="297" t="s">
        <v>19</v>
      </c>
      <c r="C879" s="293" t="s">
        <v>81</v>
      </c>
      <c r="D879" s="293" t="s">
        <v>77</v>
      </c>
      <c r="E879" s="294" t="s">
        <v>82</v>
      </c>
      <c r="F879" s="295" t="s">
        <v>83</v>
      </c>
      <c r="G879" s="296" t="s">
        <v>84</v>
      </c>
    </row>
    <row r="880" spans="1:9" ht="20.399999999999999">
      <c r="A880" s="330">
        <v>370</v>
      </c>
      <c r="B880" s="331" t="s">
        <v>1318</v>
      </c>
      <c r="C880" s="296" t="s">
        <v>87</v>
      </c>
      <c r="D880" s="332" t="s">
        <v>1316</v>
      </c>
      <c r="E880" s="333">
        <v>0.78500000000000003</v>
      </c>
      <c r="F880" s="825">
        <v>62.5</v>
      </c>
      <c r="G880" s="312">
        <f t="shared" ref="G880:G883" si="40">TRUNC(E880*F880,2)</f>
        <v>49.06</v>
      </c>
    </row>
    <row r="881" spans="1:8" ht="15" customHeight="1">
      <c r="A881" s="330">
        <v>1379</v>
      </c>
      <c r="B881" s="331" t="s">
        <v>1043</v>
      </c>
      <c r="C881" s="296" t="s">
        <v>87</v>
      </c>
      <c r="D881" s="332" t="s">
        <v>1319</v>
      </c>
      <c r="E881" s="334">
        <v>322.98</v>
      </c>
      <c r="F881" s="825">
        <v>0.49</v>
      </c>
      <c r="G881" s="312">
        <f t="shared" si="40"/>
        <v>158.26</v>
      </c>
    </row>
    <row r="882" spans="1:8" ht="20.399999999999999">
      <c r="A882" s="330">
        <v>4721</v>
      </c>
      <c r="B882" s="331" t="s">
        <v>1321</v>
      </c>
      <c r="C882" s="296" t="s">
        <v>87</v>
      </c>
      <c r="D882" s="332" t="s">
        <v>1316</v>
      </c>
      <c r="E882" s="334">
        <v>0.58699999999999997</v>
      </c>
      <c r="F882" s="825">
        <v>80</v>
      </c>
      <c r="G882" s="312">
        <f t="shared" si="40"/>
        <v>46.96</v>
      </c>
    </row>
    <row r="883" spans="1:8" ht="15" customHeight="1">
      <c r="A883" s="1159" t="s">
        <v>1322</v>
      </c>
      <c r="B883" s="1129" t="s">
        <v>110</v>
      </c>
      <c r="C883" s="296" t="s">
        <v>104</v>
      </c>
      <c r="D883" s="1189" t="s">
        <v>383</v>
      </c>
      <c r="E883" s="1287">
        <v>2.5299999999999998</v>
      </c>
      <c r="F883" s="825">
        <f>G104</f>
        <v>11.18</v>
      </c>
      <c r="G883" s="312">
        <f t="shared" si="40"/>
        <v>28.28</v>
      </c>
    </row>
    <row r="884" spans="1:8" ht="15" customHeight="1">
      <c r="A884" s="1164"/>
      <c r="B884" s="1130"/>
      <c r="C884" s="296" t="s">
        <v>87</v>
      </c>
      <c r="D884" s="1190"/>
      <c r="E884" s="1288"/>
      <c r="F884" s="825">
        <f>G105</f>
        <v>4.7300000000000004</v>
      </c>
      <c r="G884" s="312">
        <f>TRUNC(E883*F884,2)</f>
        <v>11.96</v>
      </c>
    </row>
    <row r="885" spans="1:8" ht="15" customHeight="1">
      <c r="A885" s="1159">
        <v>88377</v>
      </c>
      <c r="B885" s="1129" t="s">
        <v>1324</v>
      </c>
      <c r="C885" s="296" t="s">
        <v>104</v>
      </c>
      <c r="D885" s="1189" t="s">
        <v>383</v>
      </c>
      <c r="E885" s="1287">
        <v>1.6</v>
      </c>
      <c r="F885" s="825">
        <f>G941</f>
        <v>10.280000000000001</v>
      </c>
      <c r="G885" s="312">
        <f>TRUNC(E885*F885,2)</f>
        <v>16.440000000000001</v>
      </c>
    </row>
    <row r="886" spans="1:8" ht="15" customHeight="1">
      <c r="A886" s="1164"/>
      <c r="B886" s="1130"/>
      <c r="C886" s="296" t="s">
        <v>87</v>
      </c>
      <c r="D886" s="1190"/>
      <c r="E886" s="1288"/>
      <c r="F886" s="825">
        <f>G942</f>
        <v>3.99</v>
      </c>
      <c r="G886" s="312">
        <f>TRUNC(E885*F886,2)</f>
        <v>6.38</v>
      </c>
    </row>
    <row r="887" spans="1:8" ht="30.6">
      <c r="A887" s="330">
        <v>88830</v>
      </c>
      <c r="B887" s="331" t="s">
        <v>1498</v>
      </c>
      <c r="C887" s="296" t="s">
        <v>1260</v>
      </c>
      <c r="D887" s="332" t="s">
        <v>1277</v>
      </c>
      <c r="E887" s="334">
        <v>0.83</v>
      </c>
      <c r="F887" s="825">
        <f>G1223</f>
        <v>1.48</v>
      </c>
      <c r="G887" s="312">
        <f t="shared" ref="G887:G888" si="41">TRUNC(E887*F887,2)</f>
        <v>1.22</v>
      </c>
    </row>
    <row r="888" spans="1:8" ht="30.6">
      <c r="A888" s="330">
        <v>88831</v>
      </c>
      <c r="B888" s="331" t="s">
        <v>1499</v>
      </c>
      <c r="C888" s="296" t="s">
        <v>1260</v>
      </c>
      <c r="D888" s="332" t="s">
        <v>1256</v>
      </c>
      <c r="E888" s="334">
        <v>0.78</v>
      </c>
      <c r="F888" s="825">
        <f>G1234</f>
        <v>0.25</v>
      </c>
      <c r="G888" s="312">
        <f t="shared" si="41"/>
        <v>0.19</v>
      </c>
    </row>
    <row r="889" spans="1:8" ht="15" customHeight="1">
      <c r="D889" s="319"/>
      <c r="E889" s="320"/>
      <c r="F889" s="321" t="s">
        <v>90</v>
      </c>
      <c r="G889" s="322">
        <f>G883+G885</f>
        <v>44.72</v>
      </c>
    </row>
    <row r="890" spans="1:8" ht="15" customHeight="1">
      <c r="A890" s="302"/>
      <c r="D890" s="299"/>
      <c r="E890" s="300"/>
      <c r="F890" s="301" t="s">
        <v>92</v>
      </c>
      <c r="G890" s="312">
        <f>G880+G881+G882+G884+G886+G887+G888</f>
        <v>274.03000000000003</v>
      </c>
    </row>
    <row r="891" spans="1:8" ht="15" customHeight="1">
      <c r="A891" s="302"/>
      <c r="F891" s="301" t="s">
        <v>93</v>
      </c>
      <c r="G891" s="820">
        <f>SUM(G889:G890)</f>
        <v>318.75</v>
      </c>
      <c r="H891" s="304"/>
    </row>
    <row r="892" spans="1:8">
      <c r="A892" s="305"/>
      <c r="B892" s="306"/>
      <c r="C892" s="307"/>
      <c r="D892" s="308"/>
      <c r="E892" s="305"/>
      <c r="F892" s="306"/>
      <c r="G892" s="306"/>
      <c r="H892" s="306"/>
    </row>
    <row r="894" spans="1:8">
      <c r="A894" s="122" t="s">
        <v>1194</v>
      </c>
    </row>
    <row r="895" spans="1:8">
      <c r="A895" s="122" t="s">
        <v>1195</v>
      </c>
      <c r="B895" s="836" t="s">
        <v>2745</v>
      </c>
      <c r="C895" s="123"/>
    </row>
    <row r="896" spans="1:8" ht="27.75" customHeight="1">
      <c r="A896" s="122" t="s">
        <v>76</v>
      </c>
      <c r="B896" s="1282" t="s">
        <v>2744</v>
      </c>
      <c r="C896" s="1282"/>
      <c r="D896" s="1282"/>
      <c r="E896" s="495" t="s">
        <v>1316</v>
      </c>
      <c r="F896" s="289"/>
      <c r="G896" s="289"/>
    </row>
    <row r="897" spans="1:8" ht="20.399999999999999">
      <c r="A897" s="291" t="s">
        <v>30</v>
      </c>
      <c r="B897" s="791" t="s">
        <v>19</v>
      </c>
      <c r="C897" s="293" t="s">
        <v>81</v>
      </c>
      <c r="D897" s="293" t="s">
        <v>77</v>
      </c>
      <c r="E897" s="780" t="s">
        <v>82</v>
      </c>
      <c r="F897" s="295" t="s">
        <v>83</v>
      </c>
      <c r="G897" s="296" t="s">
        <v>84</v>
      </c>
    </row>
    <row r="898" spans="1:8" ht="20.399999999999999">
      <c r="A898" s="793" t="s">
        <v>1317</v>
      </c>
      <c r="B898" s="777" t="s">
        <v>1318</v>
      </c>
      <c r="C898" s="296" t="s">
        <v>87</v>
      </c>
      <c r="D898" s="796" t="s">
        <v>1316</v>
      </c>
      <c r="E898" s="798">
        <v>0.76100000000000001</v>
      </c>
      <c r="F898" s="825">
        <v>62.5</v>
      </c>
      <c r="G898" s="959">
        <f>E898*F898</f>
        <v>47.5625</v>
      </c>
    </row>
    <row r="899" spans="1:8" ht="15" customHeight="1">
      <c r="A899" s="793" t="s">
        <v>1042</v>
      </c>
      <c r="B899" s="777" t="s">
        <v>1043</v>
      </c>
      <c r="C899" s="296" t="s">
        <v>87</v>
      </c>
      <c r="D899" s="796" t="s">
        <v>1319</v>
      </c>
      <c r="E899" s="794">
        <v>325.16000000000003</v>
      </c>
      <c r="F899" s="825">
        <v>0.49</v>
      </c>
      <c r="G899" s="959">
        <f>E899*F899</f>
        <v>159.32840000000002</v>
      </c>
    </row>
    <row r="900" spans="1:8" ht="20.399999999999999">
      <c r="A900" s="793" t="s">
        <v>1320</v>
      </c>
      <c r="B900" s="777" t="s">
        <v>1321</v>
      </c>
      <c r="C900" s="296" t="s">
        <v>87</v>
      </c>
      <c r="D900" s="796" t="s">
        <v>1316</v>
      </c>
      <c r="E900" s="794">
        <v>0.59099999999999997</v>
      </c>
      <c r="F900" s="825">
        <v>80</v>
      </c>
      <c r="G900" s="959">
        <f>E900*F900</f>
        <v>47.28</v>
      </c>
    </row>
    <row r="901" spans="1:8" ht="15" customHeight="1">
      <c r="A901" s="1159" t="s">
        <v>1322</v>
      </c>
      <c r="B901" s="1129" t="s">
        <v>110</v>
      </c>
      <c r="C901" s="296" t="s">
        <v>104</v>
      </c>
      <c r="D901" s="1189" t="s">
        <v>383</v>
      </c>
      <c r="E901" s="1287">
        <v>2.0299999999999998</v>
      </c>
      <c r="F901" s="825">
        <f>G104</f>
        <v>11.18</v>
      </c>
      <c r="G901" s="959">
        <f>E901*F901</f>
        <v>22.695399999999996</v>
      </c>
    </row>
    <row r="902" spans="1:8" ht="15" customHeight="1">
      <c r="A902" s="1164"/>
      <c r="B902" s="1130"/>
      <c r="C902" s="296" t="s">
        <v>87</v>
      </c>
      <c r="D902" s="1190"/>
      <c r="E902" s="1288"/>
      <c r="F902" s="825">
        <f>G105</f>
        <v>4.7300000000000004</v>
      </c>
      <c r="G902" s="959">
        <f>E901*F902</f>
        <v>9.6019000000000005</v>
      </c>
    </row>
    <row r="903" spans="1:8" ht="15" customHeight="1">
      <c r="A903" s="1159" t="s">
        <v>1323</v>
      </c>
      <c r="B903" s="1129" t="s">
        <v>1324</v>
      </c>
      <c r="C903" s="296" t="s">
        <v>104</v>
      </c>
      <c r="D903" s="1189" t="s">
        <v>383</v>
      </c>
      <c r="E903" s="1287">
        <v>1.28</v>
      </c>
      <c r="F903" s="825">
        <f>G941</f>
        <v>10.280000000000001</v>
      </c>
      <c r="G903" s="959">
        <f>E903*F903</f>
        <v>13.158400000000002</v>
      </c>
    </row>
    <row r="904" spans="1:8" ht="15" customHeight="1">
      <c r="A904" s="1164"/>
      <c r="B904" s="1130"/>
      <c r="C904" s="296" t="s">
        <v>87</v>
      </c>
      <c r="D904" s="1190"/>
      <c r="E904" s="1288"/>
      <c r="F904" s="825">
        <f>G942</f>
        <v>3.99</v>
      </c>
      <c r="G904" s="959">
        <f>E903*F904</f>
        <v>5.1072000000000006</v>
      </c>
    </row>
    <row r="905" spans="1:8" ht="30.6">
      <c r="A905" s="793">
        <v>89225</v>
      </c>
      <c r="B905" s="777" t="s">
        <v>2746</v>
      </c>
      <c r="C905" s="296" t="s">
        <v>1260</v>
      </c>
      <c r="D905" s="796" t="s">
        <v>383</v>
      </c>
      <c r="E905" s="794">
        <v>0.66</v>
      </c>
      <c r="F905" s="825">
        <f>G1015</f>
        <v>3.99</v>
      </c>
      <c r="G905" s="959">
        <f>E905*F905</f>
        <v>2.6334000000000004</v>
      </c>
    </row>
    <row r="906" spans="1:8" ht="30.6">
      <c r="A906" s="793">
        <v>89226</v>
      </c>
      <c r="B906" s="777" t="s">
        <v>1499</v>
      </c>
      <c r="C906" s="296" t="s">
        <v>1260</v>
      </c>
      <c r="D906" s="796" t="s">
        <v>383</v>
      </c>
      <c r="E906" s="794">
        <v>0.62</v>
      </c>
      <c r="F906" s="825">
        <v>1.07</v>
      </c>
      <c r="G906" s="959">
        <f>E906*F906</f>
        <v>0.66339999999999999</v>
      </c>
    </row>
    <row r="907" spans="1:8" ht="15" customHeight="1">
      <c r="D907" s="847"/>
      <c r="E907" s="320"/>
      <c r="F907" s="321" t="s">
        <v>90</v>
      </c>
      <c r="G907" s="322">
        <f>G901+G903</f>
        <v>35.8538</v>
      </c>
    </row>
    <row r="908" spans="1:8" ht="15" customHeight="1">
      <c r="A908" s="302"/>
      <c r="D908" s="299"/>
      <c r="E908" s="300"/>
      <c r="F908" s="301" t="s">
        <v>92</v>
      </c>
      <c r="G908" s="312">
        <f>G898+G899+G900+G902+G904+G905+G906</f>
        <v>272.17680000000001</v>
      </c>
    </row>
    <row r="909" spans="1:8" ht="15" customHeight="1">
      <c r="A909" s="302"/>
      <c r="F909" s="301" t="s">
        <v>93</v>
      </c>
      <c r="G909" s="820">
        <f>SUM(G907:G908)-0.02</f>
        <v>308.01060000000001</v>
      </c>
      <c r="H909" s="304"/>
    </row>
    <row r="910" spans="1:8">
      <c r="A910" s="305"/>
      <c r="B910" s="306"/>
      <c r="C910" s="307"/>
      <c r="D910" s="308"/>
      <c r="E910" s="305"/>
      <c r="F910" s="306"/>
      <c r="G910" s="306"/>
      <c r="H910" s="306"/>
    </row>
    <row r="912" spans="1:8" ht="14.1" customHeight="1">
      <c r="A912" s="122" t="s">
        <v>1194</v>
      </c>
    </row>
    <row r="913" spans="1:9" ht="14.1" customHeight="1">
      <c r="A913" s="122" t="s">
        <v>1195</v>
      </c>
      <c r="B913" s="148" t="s">
        <v>1314</v>
      </c>
      <c r="C913" s="123"/>
    </row>
    <row r="914" spans="1:9" ht="25.5" customHeight="1">
      <c r="A914" s="122" t="s">
        <v>76</v>
      </c>
      <c r="B914" s="1161" t="s">
        <v>1315</v>
      </c>
      <c r="C914" s="1161"/>
      <c r="D914" s="1161"/>
      <c r="E914" s="495" t="s">
        <v>1316</v>
      </c>
      <c r="F914" s="289"/>
      <c r="G914" s="289"/>
    </row>
    <row r="915" spans="1:9" ht="20.399999999999999">
      <c r="A915" s="291" t="s">
        <v>30</v>
      </c>
      <c r="B915" s="297" t="s">
        <v>19</v>
      </c>
      <c r="C915" s="293" t="s">
        <v>81</v>
      </c>
      <c r="D915" s="293" t="s">
        <v>77</v>
      </c>
      <c r="E915" s="294" t="s">
        <v>82</v>
      </c>
      <c r="F915" s="295" t="s">
        <v>83</v>
      </c>
      <c r="G915" s="296" t="s">
        <v>84</v>
      </c>
    </row>
    <row r="916" spans="1:9" ht="20.399999999999999">
      <c r="A916" s="330" t="s">
        <v>1317</v>
      </c>
      <c r="B916" s="331" t="s">
        <v>1318</v>
      </c>
      <c r="C916" s="296" t="s">
        <v>87</v>
      </c>
      <c r="D916" s="332" t="s">
        <v>1316</v>
      </c>
      <c r="E916" s="333">
        <v>0.86399999999999999</v>
      </c>
      <c r="F916" s="825">
        <v>62.5</v>
      </c>
      <c r="G916" s="312">
        <f t="shared" ref="G916:G924" si="42">TRUNC(E916*F916,2)</f>
        <v>54</v>
      </c>
    </row>
    <row r="917" spans="1:9" ht="14.1" customHeight="1">
      <c r="A917" s="330" t="s">
        <v>1042</v>
      </c>
      <c r="B917" s="331" t="s">
        <v>1043</v>
      </c>
      <c r="C917" s="296" t="s">
        <v>87</v>
      </c>
      <c r="D917" s="332" t="s">
        <v>1319</v>
      </c>
      <c r="E917" s="334">
        <v>213.45</v>
      </c>
      <c r="F917" s="825">
        <v>0.49</v>
      </c>
      <c r="G917" s="312">
        <f t="shared" si="42"/>
        <v>104.59</v>
      </c>
    </row>
    <row r="918" spans="1:9" ht="20.399999999999999">
      <c r="A918" s="330" t="s">
        <v>1320</v>
      </c>
      <c r="B918" s="331" t="s">
        <v>1321</v>
      </c>
      <c r="C918" s="296" t="s">
        <v>87</v>
      </c>
      <c r="D918" s="332" t="s">
        <v>1316</v>
      </c>
      <c r="E918" s="335">
        <v>0.58199999999999996</v>
      </c>
      <c r="F918" s="825">
        <v>80</v>
      </c>
      <c r="G918" s="312">
        <f t="shared" si="42"/>
        <v>46.56</v>
      </c>
    </row>
    <row r="919" spans="1:9" ht="15" customHeight="1">
      <c r="A919" s="1159" t="s">
        <v>1322</v>
      </c>
      <c r="B919" s="1129" t="s">
        <v>110</v>
      </c>
      <c r="C919" s="296" t="s">
        <v>104</v>
      </c>
      <c r="D919" s="1189" t="s">
        <v>383</v>
      </c>
      <c r="E919" s="1287">
        <v>2.11</v>
      </c>
      <c r="F919" s="825">
        <f>G104</f>
        <v>11.18</v>
      </c>
      <c r="G919" s="312">
        <f t="shared" si="42"/>
        <v>23.58</v>
      </c>
    </row>
    <row r="920" spans="1:9" ht="15" customHeight="1">
      <c r="A920" s="1164"/>
      <c r="B920" s="1130"/>
      <c r="C920" s="296" t="s">
        <v>87</v>
      </c>
      <c r="D920" s="1190"/>
      <c r="E920" s="1288"/>
      <c r="F920" s="825">
        <f>G105</f>
        <v>4.7300000000000004</v>
      </c>
      <c r="G920" s="312">
        <f>TRUNC(E919*F920,2)</f>
        <v>9.98</v>
      </c>
    </row>
    <row r="921" spans="1:9" ht="15" customHeight="1">
      <c r="A921" s="1159" t="s">
        <v>1323</v>
      </c>
      <c r="B921" s="1129" t="s">
        <v>1324</v>
      </c>
      <c r="C921" s="296" t="s">
        <v>104</v>
      </c>
      <c r="D921" s="1189" t="s">
        <v>383</v>
      </c>
      <c r="E921" s="1287">
        <v>1.33</v>
      </c>
      <c r="F921" s="825">
        <f>G941</f>
        <v>10.280000000000001</v>
      </c>
      <c r="G921" s="312">
        <f>TRUNC(E921*F921,2)</f>
        <v>13.67</v>
      </c>
    </row>
    <row r="922" spans="1:9" ht="15" customHeight="1">
      <c r="A922" s="1164"/>
      <c r="B922" s="1130"/>
      <c r="C922" s="296" t="s">
        <v>87</v>
      </c>
      <c r="D922" s="1190"/>
      <c r="E922" s="1288"/>
      <c r="F922" s="825">
        <f>G942</f>
        <v>3.99</v>
      </c>
      <c r="G922" s="312">
        <f>TRUNC(E921*F922,2)</f>
        <v>5.3</v>
      </c>
    </row>
    <row r="923" spans="1:9" ht="30.6">
      <c r="A923" s="330" t="s">
        <v>1325</v>
      </c>
      <c r="B923" s="331" t="s">
        <v>1326</v>
      </c>
      <c r="C923" s="296" t="s">
        <v>1260</v>
      </c>
      <c r="D923" s="332" t="s">
        <v>1277</v>
      </c>
      <c r="E923" s="334">
        <v>0.69</v>
      </c>
      <c r="F923" s="825">
        <f>G1015</f>
        <v>3.99</v>
      </c>
      <c r="G923" s="312">
        <f t="shared" si="42"/>
        <v>2.75</v>
      </c>
    </row>
    <row r="924" spans="1:9" ht="30.6">
      <c r="A924" s="330" t="s">
        <v>1327</v>
      </c>
      <c r="B924" s="331" t="s">
        <v>1328</v>
      </c>
      <c r="C924" s="296" t="s">
        <v>1260</v>
      </c>
      <c r="D924" s="332" t="s">
        <v>1256</v>
      </c>
      <c r="E924" s="334">
        <v>0.65</v>
      </c>
      <c r="F924" s="825">
        <f>G1066</f>
        <v>1.07</v>
      </c>
      <c r="G924" s="312">
        <f t="shared" si="42"/>
        <v>0.69</v>
      </c>
    </row>
    <row r="925" spans="1:9" ht="14.1" customHeight="1">
      <c r="D925" s="319"/>
      <c r="E925" s="320"/>
      <c r="F925" s="321" t="s">
        <v>90</v>
      </c>
      <c r="G925" s="322">
        <f>G919+G921</f>
        <v>37.25</v>
      </c>
    </row>
    <row r="926" spans="1:9" ht="14.1" customHeight="1">
      <c r="A926" s="302"/>
      <c r="D926" s="299"/>
      <c r="E926" s="300"/>
      <c r="F926" s="301" t="s">
        <v>92</v>
      </c>
      <c r="G926" s="312">
        <f>G916+G917+G918+G920+G922+G923+G924</f>
        <v>223.87</v>
      </c>
    </row>
    <row r="927" spans="1:9" ht="14.1" customHeight="1">
      <c r="A927" s="302"/>
      <c r="F927" s="301" t="s">
        <v>93</v>
      </c>
      <c r="G927" s="820">
        <f>SUM(G925:G926)</f>
        <v>261.12</v>
      </c>
      <c r="H927" s="304"/>
    </row>
    <row r="928" spans="1:9">
      <c r="A928" s="305"/>
      <c r="B928" s="306"/>
      <c r="C928" s="307"/>
      <c r="D928" s="308"/>
      <c r="E928" s="305"/>
      <c r="F928" s="306"/>
      <c r="G928" s="306"/>
      <c r="H928" s="306"/>
      <c r="I928" s="305"/>
    </row>
    <row r="930" spans="1:9">
      <c r="A930" s="122" t="s">
        <v>1287</v>
      </c>
      <c r="C930" s="124"/>
      <c r="D930" s="122"/>
      <c r="E930" s="128"/>
      <c r="H930" s="122"/>
    </row>
    <row r="931" spans="1:9">
      <c r="A931" s="122" t="s">
        <v>33</v>
      </c>
      <c r="B931" s="149" t="s">
        <v>1329</v>
      </c>
      <c r="C931" s="124"/>
      <c r="D931" s="122"/>
      <c r="E931" s="128"/>
      <c r="H931" s="122"/>
    </row>
    <row r="932" spans="1:9" ht="27.75" customHeight="1">
      <c r="A932" s="122" t="s">
        <v>76</v>
      </c>
      <c r="B932" s="1289" t="s">
        <v>1324</v>
      </c>
      <c r="C932" s="1289"/>
      <c r="D932" s="496" t="s">
        <v>383</v>
      </c>
      <c r="H932" s="122"/>
    </row>
    <row r="933" spans="1:9" ht="20.399999999999999">
      <c r="A933" s="361" t="s">
        <v>30</v>
      </c>
      <c r="B933" s="297" t="s">
        <v>19</v>
      </c>
      <c r="C933" s="293" t="s">
        <v>81</v>
      </c>
      <c r="D933" s="293" t="s">
        <v>77</v>
      </c>
      <c r="E933" s="294" t="s">
        <v>82</v>
      </c>
      <c r="F933" s="295" t="s">
        <v>83</v>
      </c>
      <c r="G933" s="324" t="s">
        <v>84</v>
      </c>
      <c r="H933" s="122"/>
    </row>
    <row r="934" spans="1:9">
      <c r="A934" s="309">
        <v>37666</v>
      </c>
      <c r="B934" s="297" t="s">
        <v>1330</v>
      </c>
      <c r="C934" s="293" t="s">
        <v>104</v>
      </c>
      <c r="D934" s="293" t="s">
        <v>383</v>
      </c>
      <c r="E934" s="325">
        <v>1</v>
      </c>
      <c r="F934" s="821">
        <v>10.23</v>
      </c>
      <c r="G934" s="312">
        <f>TRUNC(E934*F934,2)</f>
        <v>10.23</v>
      </c>
      <c r="H934" s="122"/>
    </row>
    <row r="935" spans="1:9" ht="20.399999999999999">
      <c r="A935" s="309" t="s">
        <v>1290</v>
      </c>
      <c r="B935" s="297" t="s">
        <v>1291</v>
      </c>
      <c r="C935" s="293" t="s">
        <v>1292</v>
      </c>
      <c r="D935" s="293" t="s">
        <v>383</v>
      </c>
      <c r="E935" s="325">
        <v>1</v>
      </c>
      <c r="F935" s="816">
        <v>2.2000000000000002</v>
      </c>
      <c r="G935" s="296">
        <f t="shared" ref="G935:G940" si="43">TRUNC(E935*F935,2)</f>
        <v>2.2000000000000002</v>
      </c>
      <c r="H935" s="122"/>
    </row>
    <row r="936" spans="1:9" ht="20.399999999999999">
      <c r="A936" s="309" t="s">
        <v>1293</v>
      </c>
      <c r="B936" s="297" t="s">
        <v>1294</v>
      </c>
      <c r="C936" s="293" t="s">
        <v>1292</v>
      </c>
      <c r="D936" s="293" t="s">
        <v>383</v>
      </c>
      <c r="E936" s="325">
        <v>1</v>
      </c>
      <c r="F936" s="816">
        <v>0.71</v>
      </c>
      <c r="G936" s="312">
        <f t="shared" si="43"/>
        <v>0.71</v>
      </c>
      <c r="H936" s="122"/>
    </row>
    <row r="937" spans="1:9" ht="20.399999999999999">
      <c r="A937" s="309" t="s">
        <v>1295</v>
      </c>
      <c r="B937" s="297" t="s">
        <v>1296</v>
      </c>
      <c r="C937" s="293" t="s">
        <v>1292</v>
      </c>
      <c r="D937" s="293" t="s">
        <v>383</v>
      </c>
      <c r="E937" s="325">
        <v>1</v>
      </c>
      <c r="F937" s="816">
        <v>0.35</v>
      </c>
      <c r="G937" s="296">
        <f t="shared" si="43"/>
        <v>0.35</v>
      </c>
      <c r="H937" s="122"/>
    </row>
    <row r="938" spans="1:9" ht="20.399999999999999">
      <c r="A938" s="309" t="s">
        <v>1297</v>
      </c>
      <c r="B938" s="297" t="s">
        <v>1298</v>
      </c>
      <c r="C938" s="293" t="s">
        <v>1292</v>
      </c>
      <c r="D938" s="293" t="s">
        <v>383</v>
      </c>
      <c r="E938" s="325">
        <v>1</v>
      </c>
      <c r="F938" s="816">
        <v>7.0000000000000007E-2</v>
      </c>
      <c r="G938" s="296">
        <f t="shared" si="43"/>
        <v>7.0000000000000007E-2</v>
      </c>
      <c r="H938" s="122"/>
    </row>
    <row r="939" spans="1:9" ht="14.1" customHeight="1">
      <c r="A939" s="309" t="s">
        <v>1299</v>
      </c>
      <c r="B939" s="297" t="s">
        <v>1223</v>
      </c>
      <c r="C939" s="293" t="s">
        <v>87</v>
      </c>
      <c r="D939" s="293" t="s">
        <v>383</v>
      </c>
      <c r="E939" s="325">
        <v>1</v>
      </c>
      <c r="F939" s="816">
        <v>0.66</v>
      </c>
      <c r="G939" s="312">
        <f t="shared" si="43"/>
        <v>0.66</v>
      </c>
      <c r="H939" s="122"/>
    </row>
    <row r="940" spans="1:9" ht="30.6">
      <c r="A940" s="309">
        <v>95389</v>
      </c>
      <c r="B940" s="297" t="s">
        <v>1331</v>
      </c>
      <c r="C940" s="293" t="s">
        <v>104</v>
      </c>
      <c r="D940" s="293" t="s">
        <v>383</v>
      </c>
      <c r="E940" s="325">
        <v>1</v>
      </c>
      <c r="F940" s="816">
        <v>0.05</v>
      </c>
      <c r="G940" s="312">
        <f t="shared" si="43"/>
        <v>0.05</v>
      </c>
      <c r="H940" s="122"/>
    </row>
    <row r="941" spans="1:9" ht="14.1" customHeight="1">
      <c r="C941" s="124"/>
      <c r="D941" s="328"/>
      <c r="E941" s="300"/>
      <c r="F941" s="301" t="s">
        <v>90</v>
      </c>
      <c r="G941" s="312">
        <f>G934+G940</f>
        <v>10.280000000000001</v>
      </c>
      <c r="H941" s="122"/>
    </row>
    <row r="942" spans="1:9" ht="14.1" customHeight="1">
      <c r="C942" s="124"/>
      <c r="E942" s="300"/>
      <c r="F942" s="301" t="s">
        <v>92</v>
      </c>
      <c r="G942" s="312">
        <f>SUM(G935:G939)</f>
        <v>3.99</v>
      </c>
      <c r="H942" s="122"/>
    </row>
    <row r="943" spans="1:9" ht="14.1" customHeight="1">
      <c r="A943" s="302"/>
      <c r="C943" s="124"/>
      <c r="D943" s="319"/>
      <c r="E943" s="300"/>
      <c r="F943" s="301" t="s">
        <v>93</v>
      </c>
      <c r="G943" s="811">
        <f>SUM(G941:G942)</f>
        <v>14.270000000000001</v>
      </c>
      <c r="H943" s="122"/>
    </row>
    <row r="944" spans="1:9">
      <c r="A944" s="305"/>
      <c r="B944" s="306"/>
      <c r="C944" s="308"/>
      <c r="D944" s="305"/>
      <c r="E944" s="306"/>
      <c r="F944" s="306"/>
      <c r="G944" s="306"/>
      <c r="H944" s="305"/>
      <c r="I944" s="305"/>
    </row>
    <row r="946" spans="1:9">
      <c r="A946" s="122" t="s">
        <v>2710</v>
      </c>
      <c r="C946" s="124"/>
      <c r="D946" s="122"/>
      <c r="E946" s="128"/>
      <c r="H946" s="122"/>
    </row>
    <row r="947" spans="1:9">
      <c r="A947" s="122" t="s">
        <v>33</v>
      </c>
      <c r="B947" s="819" t="s">
        <v>2748</v>
      </c>
      <c r="C947" s="124"/>
      <c r="D947" s="122"/>
      <c r="E947" s="128"/>
      <c r="H947" s="122"/>
    </row>
    <row r="948" spans="1:9" ht="27.75" customHeight="1">
      <c r="A948" s="122" t="s">
        <v>76</v>
      </c>
      <c r="B948" s="1290" t="s">
        <v>2749</v>
      </c>
      <c r="C948" s="1290"/>
      <c r="D948" s="496" t="s">
        <v>383</v>
      </c>
      <c r="H948" s="122"/>
    </row>
    <row r="949" spans="1:9" ht="20.399999999999999">
      <c r="A949" s="361" t="s">
        <v>30</v>
      </c>
      <c r="B949" s="791" t="s">
        <v>19</v>
      </c>
      <c r="C949" s="293" t="s">
        <v>81</v>
      </c>
      <c r="D949" s="293" t="s">
        <v>77</v>
      </c>
      <c r="E949" s="780" t="s">
        <v>82</v>
      </c>
      <c r="F949" s="295" t="s">
        <v>83</v>
      </c>
      <c r="G949" s="324" t="s">
        <v>84</v>
      </c>
      <c r="H949" s="122"/>
    </row>
    <row r="950" spans="1:9">
      <c r="A950" s="790"/>
      <c r="B950" s="791"/>
      <c r="C950" s="293" t="s">
        <v>104</v>
      </c>
      <c r="D950" s="293" t="s">
        <v>383</v>
      </c>
      <c r="E950" s="325">
        <v>1</v>
      </c>
      <c r="F950" s="821">
        <v>907.16</v>
      </c>
      <c r="G950" s="312">
        <f>TRUNC(E950*F950,2)</f>
        <v>907.16</v>
      </c>
      <c r="H950" s="122"/>
    </row>
    <row r="951" spans="1:9">
      <c r="A951" s="790"/>
      <c r="B951" s="791"/>
      <c r="C951" s="293" t="s">
        <v>87</v>
      </c>
      <c r="D951" s="293" t="s">
        <v>383</v>
      </c>
      <c r="E951" s="325">
        <v>1</v>
      </c>
      <c r="F951" s="816">
        <v>826.78</v>
      </c>
      <c r="G951" s="296">
        <f t="shared" ref="G951" si="44">TRUNC(E951*F951,2)</f>
        <v>826.78</v>
      </c>
      <c r="H951" s="122"/>
    </row>
    <row r="952" spans="1:9" ht="14.1" customHeight="1">
      <c r="C952" s="124"/>
      <c r="D952" s="328"/>
      <c r="E952" s="300"/>
      <c r="F952" s="301" t="s">
        <v>90</v>
      </c>
      <c r="G952" s="312">
        <f>G950</f>
        <v>907.16</v>
      </c>
      <c r="H952" s="122"/>
    </row>
    <row r="953" spans="1:9" ht="14.1" customHeight="1">
      <c r="C953" s="124"/>
      <c r="E953" s="300"/>
      <c r="F953" s="301" t="s">
        <v>92</v>
      </c>
      <c r="G953" s="312">
        <f>SUM(G951:G951)</f>
        <v>826.78</v>
      </c>
      <c r="H953" s="122"/>
    </row>
    <row r="954" spans="1:9" ht="14.1" customHeight="1">
      <c r="A954" s="302"/>
      <c r="C954" s="124"/>
      <c r="D954" s="319"/>
      <c r="E954" s="300"/>
      <c r="F954" s="301" t="s">
        <v>93</v>
      </c>
      <c r="G954" s="811">
        <f>SUM(G952:G953)</f>
        <v>1733.94</v>
      </c>
      <c r="H954" s="122"/>
    </row>
    <row r="955" spans="1:9">
      <c r="A955" s="305"/>
      <c r="B955" s="306"/>
      <c r="C955" s="308"/>
      <c r="D955" s="305"/>
      <c r="E955" s="306"/>
      <c r="F955" s="306"/>
      <c r="G955" s="306"/>
      <c r="H955" s="305"/>
      <c r="I955" s="305"/>
    </row>
    <row r="957" spans="1:9">
      <c r="A957" s="122" t="s">
        <v>2710</v>
      </c>
      <c r="C957" s="124"/>
      <c r="D957" s="122"/>
      <c r="E957" s="128"/>
      <c r="H957" s="122"/>
    </row>
    <row r="958" spans="1:9">
      <c r="A958" s="122" t="s">
        <v>33</v>
      </c>
      <c r="B958" s="819" t="s">
        <v>3280</v>
      </c>
      <c r="C958" s="124"/>
      <c r="D958" s="122"/>
      <c r="E958" s="128"/>
      <c r="H958" s="122"/>
    </row>
    <row r="959" spans="1:9" ht="27.75" customHeight="1">
      <c r="A959" s="122" t="s">
        <v>76</v>
      </c>
      <c r="B959" s="1290" t="s">
        <v>3281</v>
      </c>
      <c r="C959" s="1290"/>
      <c r="D959" s="496" t="s">
        <v>383</v>
      </c>
      <c r="H959" s="122"/>
    </row>
    <row r="960" spans="1:9" ht="20.399999999999999">
      <c r="A960" s="361" t="s">
        <v>30</v>
      </c>
      <c r="B960" s="1026" t="s">
        <v>19</v>
      </c>
      <c r="C960" s="293" t="s">
        <v>81</v>
      </c>
      <c r="D960" s="293" t="s">
        <v>77</v>
      </c>
      <c r="E960" s="1018" t="s">
        <v>82</v>
      </c>
      <c r="F960" s="1023" t="s">
        <v>83</v>
      </c>
      <c r="G960" s="324" t="s">
        <v>84</v>
      </c>
      <c r="H960" s="122"/>
    </row>
    <row r="961" spans="1:9">
      <c r="A961" s="1027"/>
      <c r="B961" s="1026"/>
      <c r="C961" s="293" t="s">
        <v>104</v>
      </c>
      <c r="D961" s="293" t="s">
        <v>383</v>
      </c>
      <c r="E961" s="325">
        <v>1</v>
      </c>
      <c r="F961" s="1024">
        <v>263.75</v>
      </c>
      <c r="G961" s="312">
        <f>TRUNC(E961*F961,2)</f>
        <v>263.75</v>
      </c>
      <c r="H961" s="122"/>
    </row>
    <row r="962" spans="1:9">
      <c r="A962" s="1027"/>
      <c r="B962" s="1026"/>
      <c r="C962" s="293" t="s">
        <v>87</v>
      </c>
      <c r="D962" s="293" t="s">
        <v>383</v>
      </c>
      <c r="E962" s="325">
        <v>1</v>
      </c>
      <c r="F962" s="816">
        <v>792.4</v>
      </c>
      <c r="G962" s="296">
        <f t="shared" ref="G962" si="45">TRUNC(E962*F962,2)</f>
        <v>792.4</v>
      </c>
      <c r="H962" s="122"/>
    </row>
    <row r="963" spans="1:9" ht="14.1" customHeight="1">
      <c r="C963" s="124"/>
      <c r="D963" s="328"/>
      <c r="E963" s="300"/>
      <c r="F963" s="301" t="s">
        <v>90</v>
      </c>
      <c r="G963" s="312">
        <f>G961</f>
        <v>263.75</v>
      </c>
      <c r="H963" s="122"/>
    </row>
    <row r="964" spans="1:9" ht="14.1" customHeight="1">
      <c r="C964" s="124"/>
      <c r="E964" s="300"/>
      <c r="F964" s="301" t="s">
        <v>92</v>
      </c>
      <c r="G964" s="312">
        <f>SUM(G962:G962)</f>
        <v>792.4</v>
      </c>
      <c r="H964" s="122"/>
    </row>
    <row r="965" spans="1:9" ht="14.1" customHeight="1">
      <c r="A965" s="302"/>
      <c r="C965" s="124"/>
      <c r="D965" s="319"/>
      <c r="E965" s="300"/>
      <c r="F965" s="301" t="s">
        <v>93</v>
      </c>
      <c r="G965" s="811">
        <f>SUM(G963:G964)</f>
        <v>1056.1500000000001</v>
      </c>
      <c r="H965" s="122"/>
    </row>
    <row r="966" spans="1:9">
      <c r="A966" s="305"/>
      <c r="B966" s="306"/>
      <c r="C966" s="308"/>
      <c r="D966" s="305"/>
      <c r="E966" s="306"/>
      <c r="F966" s="306"/>
      <c r="G966" s="306"/>
      <c r="H966" s="305"/>
      <c r="I966" s="305"/>
    </row>
    <row r="968" spans="1:9">
      <c r="A968" s="122" t="s">
        <v>1287</v>
      </c>
      <c r="C968" s="124"/>
      <c r="D968" s="122"/>
      <c r="E968" s="128"/>
      <c r="H968" s="122"/>
    </row>
    <row r="969" spans="1:9">
      <c r="A969" s="122" t="s">
        <v>33</v>
      </c>
      <c r="B969" s="819" t="s">
        <v>2750</v>
      </c>
      <c r="C969" s="124"/>
      <c r="D969" s="122"/>
      <c r="E969" s="128"/>
      <c r="H969" s="122"/>
    </row>
    <row r="970" spans="1:9" ht="19.5" customHeight="1">
      <c r="A970" s="122" t="s">
        <v>76</v>
      </c>
      <c r="B970" s="1289" t="s">
        <v>1713</v>
      </c>
      <c r="C970" s="1289"/>
      <c r="D970" s="318" t="s">
        <v>383</v>
      </c>
      <c r="H970" s="122"/>
    </row>
    <row r="971" spans="1:9" ht="20.399999999999999">
      <c r="A971" s="361" t="s">
        <v>30</v>
      </c>
      <c r="B971" s="297" t="s">
        <v>19</v>
      </c>
      <c r="C971" s="293" t="s">
        <v>81</v>
      </c>
      <c r="D971" s="293" t="s">
        <v>77</v>
      </c>
      <c r="E971" s="294" t="s">
        <v>82</v>
      </c>
      <c r="F971" s="295" t="s">
        <v>83</v>
      </c>
      <c r="G971" s="324" t="s">
        <v>84</v>
      </c>
      <c r="H971" s="122"/>
    </row>
    <row r="972" spans="1:9" ht="15" customHeight="1">
      <c r="A972" s="309">
        <v>6160</v>
      </c>
      <c r="B972" s="297" t="s">
        <v>1727</v>
      </c>
      <c r="C972" s="293" t="s">
        <v>104</v>
      </c>
      <c r="D972" s="293" t="s">
        <v>383</v>
      </c>
      <c r="E972" s="325">
        <v>1</v>
      </c>
      <c r="F972" s="821">
        <v>14.49</v>
      </c>
      <c r="G972" s="312">
        <f>TRUNC(E972*F972,2)</f>
        <v>14.49</v>
      </c>
      <c r="H972" s="122"/>
    </row>
    <row r="973" spans="1:9" ht="20.399999999999999">
      <c r="A973" s="309" t="s">
        <v>1290</v>
      </c>
      <c r="B973" s="297" t="s">
        <v>1291</v>
      </c>
      <c r="C973" s="293" t="s">
        <v>1292</v>
      </c>
      <c r="D973" s="293" t="s">
        <v>383</v>
      </c>
      <c r="E973" s="325">
        <v>1</v>
      </c>
      <c r="F973" s="816">
        <v>2.2000000000000002</v>
      </c>
      <c r="G973" s="296">
        <f t="shared" ref="G973:G979" si="46">TRUNC(E973*F973,2)</f>
        <v>2.2000000000000002</v>
      </c>
      <c r="H973" s="122"/>
    </row>
    <row r="974" spans="1:9" ht="20.399999999999999">
      <c r="A974" s="309" t="s">
        <v>1293</v>
      </c>
      <c r="B974" s="297" t="s">
        <v>1294</v>
      </c>
      <c r="C974" s="293" t="s">
        <v>1292</v>
      </c>
      <c r="D974" s="293" t="s">
        <v>383</v>
      </c>
      <c r="E974" s="325">
        <v>1</v>
      </c>
      <c r="F974" s="816">
        <v>0.71</v>
      </c>
      <c r="G974" s="312">
        <f t="shared" si="46"/>
        <v>0.71</v>
      </c>
      <c r="H974" s="122"/>
    </row>
    <row r="975" spans="1:9" ht="20.399999999999999">
      <c r="A975" s="309" t="s">
        <v>1295</v>
      </c>
      <c r="B975" s="297" t="s">
        <v>1296</v>
      </c>
      <c r="C975" s="293" t="s">
        <v>1292</v>
      </c>
      <c r="D975" s="293" t="s">
        <v>383</v>
      </c>
      <c r="E975" s="325">
        <v>1</v>
      </c>
      <c r="F975" s="816">
        <v>0.35</v>
      </c>
      <c r="G975" s="296">
        <f t="shared" si="46"/>
        <v>0.35</v>
      </c>
      <c r="H975" s="122"/>
    </row>
    <row r="976" spans="1:9" ht="20.399999999999999">
      <c r="A976" s="309" t="s">
        <v>1297</v>
      </c>
      <c r="B976" s="297" t="s">
        <v>1298</v>
      </c>
      <c r="C976" s="293" t="s">
        <v>1292</v>
      </c>
      <c r="D976" s="293" t="s">
        <v>383</v>
      </c>
      <c r="E976" s="325">
        <v>1</v>
      </c>
      <c r="F976" s="816">
        <v>7.0000000000000007E-2</v>
      </c>
      <c r="G976" s="296">
        <f t="shared" si="46"/>
        <v>7.0000000000000007E-2</v>
      </c>
      <c r="H976" s="122"/>
    </row>
    <row r="977" spans="1:8">
      <c r="A977" s="309" t="s">
        <v>1467</v>
      </c>
      <c r="B977" s="297" t="s">
        <v>1197</v>
      </c>
      <c r="C977" s="293" t="s">
        <v>1292</v>
      </c>
      <c r="D977" s="293" t="s">
        <v>383</v>
      </c>
      <c r="E977" s="325">
        <v>1</v>
      </c>
      <c r="F977" s="816">
        <v>0.47</v>
      </c>
      <c r="G977" s="296">
        <f t="shared" si="46"/>
        <v>0.47</v>
      </c>
      <c r="H977" s="122"/>
    </row>
    <row r="978" spans="1:8">
      <c r="A978" s="309" t="s">
        <v>1299</v>
      </c>
      <c r="B978" s="297" t="s">
        <v>1223</v>
      </c>
      <c r="C978" s="293" t="s">
        <v>87</v>
      </c>
      <c r="D978" s="293" t="s">
        <v>383</v>
      </c>
      <c r="E978" s="325">
        <v>1</v>
      </c>
      <c r="F978" s="816">
        <v>1.05</v>
      </c>
      <c r="G978" s="312">
        <f t="shared" si="46"/>
        <v>1.05</v>
      </c>
      <c r="H978" s="122"/>
    </row>
    <row r="979" spans="1:8" ht="20.399999999999999">
      <c r="A979" s="309">
        <v>95379</v>
      </c>
      <c r="B979" s="297" t="s">
        <v>1728</v>
      </c>
      <c r="C979" s="293" t="s">
        <v>104</v>
      </c>
      <c r="D979" s="293" t="s">
        <v>383</v>
      </c>
      <c r="E979" s="325">
        <v>1</v>
      </c>
      <c r="F979" s="816">
        <f>G992</f>
        <v>0.13</v>
      </c>
      <c r="G979" s="312">
        <f t="shared" si="46"/>
        <v>0.13</v>
      </c>
      <c r="H979" s="122"/>
    </row>
    <row r="980" spans="1:8" ht="15" customHeight="1">
      <c r="C980" s="124"/>
      <c r="D980" s="328"/>
      <c r="E980" s="300"/>
      <c r="F980" s="301" t="s">
        <v>90</v>
      </c>
      <c r="G980" s="312">
        <f>G972+G979</f>
        <v>14.620000000000001</v>
      </c>
      <c r="H980" s="122"/>
    </row>
    <row r="981" spans="1:8" ht="15.75" customHeight="1">
      <c r="C981" s="124"/>
      <c r="E981" s="300"/>
      <c r="F981" s="301" t="s">
        <v>92</v>
      </c>
      <c r="G981" s="312">
        <f>SUM(G973:G978)</f>
        <v>4.8499999999999996</v>
      </c>
      <c r="H981" s="122"/>
    </row>
    <row r="982" spans="1:8" ht="15" customHeight="1">
      <c r="A982" s="302"/>
      <c r="C982" s="124"/>
      <c r="D982" s="319"/>
      <c r="E982" s="300"/>
      <c r="F982" s="301" t="s">
        <v>93</v>
      </c>
      <c r="G982" s="811">
        <f>SUM(G980:G981)</f>
        <v>19.47</v>
      </c>
      <c r="H982" s="122"/>
    </row>
    <row r="983" spans="1:8">
      <c r="A983" s="305"/>
      <c r="B983" s="306"/>
      <c r="C983" s="308"/>
      <c r="D983" s="305"/>
      <c r="E983" s="306"/>
      <c r="F983" s="306"/>
      <c r="G983" s="306"/>
      <c r="H983" s="305"/>
    </row>
    <row r="985" spans="1:8">
      <c r="A985" s="122" t="s">
        <v>1194</v>
      </c>
    </row>
    <row r="986" spans="1:8" ht="12" customHeight="1">
      <c r="A986" s="122" t="s">
        <v>1195</v>
      </c>
      <c r="B986" s="149" t="s">
        <v>1730</v>
      </c>
      <c r="C986" s="123"/>
    </row>
    <row r="987" spans="1:8" ht="27.75" customHeight="1">
      <c r="A987" s="122" t="s">
        <v>76</v>
      </c>
      <c r="B987" s="1161" t="s">
        <v>1728</v>
      </c>
      <c r="C987" s="1161"/>
      <c r="D987" s="496" t="s">
        <v>383</v>
      </c>
      <c r="E987" s="289" t="s">
        <v>2</v>
      </c>
      <c r="F987" s="289"/>
      <c r="G987" s="289"/>
    </row>
    <row r="988" spans="1:8" ht="20.399999999999999">
      <c r="A988" s="291" t="s">
        <v>30</v>
      </c>
      <c r="B988" s="292" t="s">
        <v>19</v>
      </c>
      <c r="C988" s="293" t="s">
        <v>81</v>
      </c>
      <c r="D988" s="293" t="s">
        <v>77</v>
      </c>
      <c r="E988" s="294" t="s">
        <v>82</v>
      </c>
      <c r="F988" s="295" t="s">
        <v>83</v>
      </c>
      <c r="G988" s="296" t="s">
        <v>84</v>
      </c>
    </row>
    <row r="989" spans="1:8" ht="15" customHeight="1">
      <c r="A989" s="309">
        <v>6160</v>
      </c>
      <c r="B989" s="297" t="s">
        <v>1729</v>
      </c>
      <c r="C989" s="295" t="s">
        <v>104</v>
      </c>
      <c r="D989" s="293" t="s">
        <v>383</v>
      </c>
      <c r="E989" s="294">
        <v>9.2999999999999992E-3</v>
      </c>
      <c r="F989" s="326">
        <f>14.68</f>
        <v>14.68</v>
      </c>
      <c r="G989" s="296">
        <f>TRUNC(E989*F989,2)</f>
        <v>0.13</v>
      </c>
    </row>
    <row r="990" spans="1:8" ht="15" customHeight="1">
      <c r="D990" s="299"/>
      <c r="E990" s="300"/>
      <c r="F990" s="301" t="s">
        <v>90</v>
      </c>
      <c r="G990" s="296">
        <f>G989</f>
        <v>0.13</v>
      </c>
    </row>
    <row r="991" spans="1:8" ht="15" customHeight="1">
      <c r="D991" s="299"/>
      <c r="E991" s="300"/>
      <c r="F991" s="301" t="s">
        <v>92</v>
      </c>
      <c r="G991" s="296"/>
    </row>
    <row r="992" spans="1:8" ht="15" customHeight="1">
      <c r="A992" s="302"/>
      <c r="D992" s="299"/>
      <c r="E992" s="300"/>
      <c r="F992" s="301" t="s">
        <v>93</v>
      </c>
      <c r="G992" s="303">
        <f>SUM(G990:G991)</f>
        <v>0.13</v>
      </c>
      <c r="H992" s="304"/>
    </row>
    <row r="993" spans="1:9">
      <c r="A993" s="305"/>
      <c r="B993" s="306"/>
      <c r="C993" s="307"/>
      <c r="D993" s="308"/>
      <c r="E993" s="305"/>
      <c r="F993" s="306"/>
      <c r="G993" s="306"/>
      <c r="H993" s="306"/>
    </row>
    <row r="995" spans="1:9">
      <c r="A995" s="122" t="s">
        <v>1194</v>
      </c>
    </row>
    <row r="996" spans="1:9">
      <c r="A996" s="122" t="s">
        <v>1195</v>
      </c>
      <c r="B996" s="149" t="s">
        <v>1332</v>
      </c>
      <c r="C996" s="123"/>
    </row>
    <row r="997" spans="1:9" ht="33" customHeight="1">
      <c r="A997" s="122" t="s">
        <v>76</v>
      </c>
      <c r="B997" s="1161" t="s">
        <v>1331</v>
      </c>
      <c r="C997" s="1161"/>
      <c r="D997" s="496" t="s">
        <v>383</v>
      </c>
      <c r="E997" s="289" t="s">
        <v>2</v>
      </c>
      <c r="F997" s="289"/>
      <c r="G997" s="289"/>
    </row>
    <row r="998" spans="1:9" ht="20.399999999999999">
      <c r="A998" s="291" t="s">
        <v>30</v>
      </c>
      <c r="B998" s="292" t="s">
        <v>19</v>
      </c>
      <c r="C998" s="293" t="s">
        <v>81</v>
      </c>
      <c r="D998" s="293" t="s">
        <v>77</v>
      </c>
      <c r="E998" s="294" t="s">
        <v>82</v>
      </c>
      <c r="F998" s="295" t="s">
        <v>83</v>
      </c>
      <c r="G998" s="296" t="s">
        <v>84</v>
      </c>
    </row>
    <row r="999" spans="1:9">
      <c r="A999" s="309">
        <v>37666</v>
      </c>
      <c r="B999" s="297" t="s">
        <v>1330</v>
      </c>
      <c r="C999" s="295" t="s">
        <v>104</v>
      </c>
      <c r="D999" s="293" t="s">
        <v>383</v>
      </c>
      <c r="E999" s="294">
        <v>9.2999999999999992E-3</v>
      </c>
      <c r="F999" s="326">
        <f>10.49</f>
        <v>10.49</v>
      </c>
      <c r="G999" s="296">
        <f>TRUNC(E999*F999,2)</f>
        <v>0.09</v>
      </c>
    </row>
    <row r="1000" spans="1:9" ht="14.1" customHeight="1">
      <c r="D1000" s="299"/>
      <c r="E1000" s="300"/>
      <c r="F1000" s="301" t="s">
        <v>90</v>
      </c>
      <c r="G1000" s="296">
        <f>G999</f>
        <v>0.09</v>
      </c>
    </row>
    <row r="1001" spans="1:9" ht="14.1" customHeight="1">
      <c r="D1001" s="299"/>
      <c r="E1001" s="300"/>
      <c r="F1001" s="301" t="s">
        <v>92</v>
      </c>
      <c r="G1001" s="296"/>
    </row>
    <row r="1002" spans="1:9" ht="14.1" customHeight="1">
      <c r="A1002" s="302"/>
      <c r="D1002" s="299"/>
      <c r="E1002" s="300"/>
      <c r="F1002" s="301" t="s">
        <v>93</v>
      </c>
      <c r="G1002" s="303">
        <f>SUM(G1000:G1001)</f>
        <v>0.09</v>
      </c>
      <c r="H1002" s="304"/>
    </row>
    <row r="1003" spans="1:9">
      <c r="A1003" s="305"/>
      <c r="B1003" s="306"/>
      <c r="C1003" s="307"/>
      <c r="D1003" s="308"/>
      <c r="E1003" s="305"/>
      <c r="F1003" s="306"/>
      <c r="G1003" s="306"/>
      <c r="H1003" s="306"/>
      <c r="I1003" s="305"/>
    </row>
    <row r="1005" spans="1:9">
      <c r="A1005" s="122" t="s">
        <v>2709</v>
      </c>
    </row>
    <row r="1006" spans="1:9">
      <c r="A1006" s="122" t="s">
        <v>1195</v>
      </c>
      <c r="B1006" s="148" t="s">
        <v>1333</v>
      </c>
      <c r="C1006" s="123"/>
    </row>
    <row r="1007" spans="1:9" ht="40.5" customHeight="1">
      <c r="A1007" s="122" t="s">
        <v>76</v>
      </c>
      <c r="B1007" s="1161" t="s">
        <v>1334</v>
      </c>
      <c r="C1007" s="1161"/>
      <c r="D1007" s="1161"/>
      <c r="E1007" s="150" t="s">
        <v>1277</v>
      </c>
      <c r="F1007" s="289"/>
      <c r="G1007" s="289"/>
    </row>
    <row r="1008" spans="1:9" ht="20.399999999999999">
      <c r="A1008" s="291" t="s">
        <v>30</v>
      </c>
      <c r="B1008" s="292" t="s">
        <v>19</v>
      </c>
      <c r="C1008" s="293" t="s">
        <v>81</v>
      </c>
      <c r="D1008" s="293" t="s">
        <v>77</v>
      </c>
      <c r="E1008" s="294" t="s">
        <v>82</v>
      </c>
      <c r="F1008" s="295" t="s">
        <v>83</v>
      </c>
      <c r="G1008" s="296" t="s">
        <v>84</v>
      </c>
    </row>
    <row r="1009" spans="1:9" ht="50.1" customHeight="1">
      <c r="A1009" s="336" t="s">
        <v>1335</v>
      </c>
      <c r="B1009" s="337" t="s">
        <v>1336</v>
      </c>
      <c r="C1009" s="338" t="s">
        <v>1260</v>
      </c>
      <c r="D1009" s="339" t="s">
        <v>383</v>
      </c>
      <c r="E1009" s="340">
        <v>1</v>
      </c>
      <c r="F1009" s="827">
        <v>0.96</v>
      </c>
      <c r="G1009" s="342">
        <f t="shared" ref="G1009:G1012" si="47">TRUNC(E1009*F1009,2)</f>
        <v>0.96</v>
      </c>
    </row>
    <row r="1010" spans="1:9" ht="50.1" customHeight="1">
      <c r="A1010" s="343" t="s">
        <v>1337</v>
      </c>
      <c r="B1010" s="297" t="s">
        <v>1338</v>
      </c>
      <c r="C1010" s="296" t="s">
        <v>1260</v>
      </c>
      <c r="D1010" s="293" t="s">
        <v>383</v>
      </c>
      <c r="E1010" s="344">
        <v>1</v>
      </c>
      <c r="F1010" s="825">
        <v>0.11</v>
      </c>
      <c r="G1010" s="342">
        <f t="shared" si="47"/>
        <v>0.11</v>
      </c>
    </row>
    <row r="1011" spans="1:9" ht="50.1" customHeight="1">
      <c r="A1011" s="291" t="s">
        <v>1339</v>
      </c>
      <c r="B1011" s="297" t="s">
        <v>1340</v>
      </c>
      <c r="C1011" s="294" t="s">
        <v>1260</v>
      </c>
      <c r="D1011" s="293" t="s">
        <v>383</v>
      </c>
      <c r="E1011" s="311">
        <v>1</v>
      </c>
      <c r="F1011" s="825">
        <v>0.9</v>
      </c>
      <c r="G1011" s="342">
        <f t="shared" si="47"/>
        <v>0.9</v>
      </c>
    </row>
    <row r="1012" spans="1:9" ht="50.1" customHeight="1">
      <c r="A1012" s="291" t="s">
        <v>1341</v>
      </c>
      <c r="B1012" s="297" t="s">
        <v>1342</v>
      </c>
      <c r="C1012" s="294" t="s">
        <v>1260</v>
      </c>
      <c r="D1012" s="293" t="s">
        <v>383</v>
      </c>
      <c r="E1012" s="311">
        <v>1</v>
      </c>
      <c r="F1012" s="825">
        <v>2.02</v>
      </c>
      <c r="G1012" s="312">
        <f t="shared" si="47"/>
        <v>2.02</v>
      </c>
    </row>
    <row r="1013" spans="1:9" ht="14.1" customHeight="1">
      <c r="D1013" s="319"/>
      <c r="E1013" s="320"/>
      <c r="F1013" s="321" t="s">
        <v>90</v>
      </c>
      <c r="G1013" s="322"/>
    </row>
    <row r="1014" spans="1:9" ht="14.1" customHeight="1">
      <c r="A1014" s="302"/>
      <c r="D1014" s="299"/>
      <c r="E1014" s="300"/>
      <c r="F1014" s="301" t="s">
        <v>92</v>
      </c>
      <c r="G1014" s="312">
        <f>SUM(G1009:G1012)</f>
        <v>3.99</v>
      </c>
    </row>
    <row r="1015" spans="1:9" ht="14.1" customHeight="1">
      <c r="A1015" s="302"/>
      <c r="F1015" s="301" t="s">
        <v>93</v>
      </c>
      <c r="G1015" s="820">
        <f>SUM(G1013:G1014)</f>
        <v>3.99</v>
      </c>
      <c r="H1015" s="304"/>
    </row>
    <row r="1016" spans="1:9">
      <c r="A1016" s="305"/>
      <c r="B1016" s="306"/>
      <c r="C1016" s="307"/>
      <c r="D1016" s="308"/>
      <c r="E1016" s="305"/>
      <c r="F1016" s="306"/>
      <c r="G1016" s="306"/>
      <c r="H1016" s="306"/>
      <c r="I1016" s="305"/>
    </row>
    <row r="1018" spans="1:9">
      <c r="A1018" s="122" t="s">
        <v>1194</v>
      </c>
    </row>
    <row r="1019" spans="1:9">
      <c r="A1019" s="122" t="s">
        <v>1195</v>
      </c>
      <c r="B1019" s="148" t="s">
        <v>1343</v>
      </c>
      <c r="C1019" s="123"/>
    </row>
    <row r="1020" spans="1:9" ht="35.25" customHeight="1">
      <c r="A1020" s="122" t="s">
        <v>76</v>
      </c>
      <c r="B1020" s="1161" t="s">
        <v>1336</v>
      </c>
      <c r="C1020" s="1161"/>
      <c r="D1020" s="1161"/>
      <c r="E1020" s="150" t="s">
        <v>383</v>
      </c>
      <c r="F1020" s="289"/>
      <c r="G1020" s="289"/>
    </row>
    <row r="1021" spans="1:9" ht="20.399999999999999">
      <c r="A1021" s="291" t="s">
        <v>30</v>
      </c>
      <c r="B1021" s="292" t="s">
        <v>19</v>
      </c>
      <c r="C1021" s="293" t="s">
        <v>81</v>
      </c>
      <c r="D1021" s="293" t="s">
        <v>77</v>
      </c>
      <c r="E1021" s="294" t="s">
        <v>82</v>
      </c>
      <c r="F1021" s="295" t="s">
        <v>83</v>
      </c>
      <c r="G1021" s="296" t="s">
        <v>84</v>
      </c>
    </row>
    <row r="1022" spans="1:9" ht="39.75" customHeight="1">
      <c r="A1022" s="343">
        <v>36397</v>
      </c>
      <c r="B1022" s="345" t="s">
        <v>1344</v>
      </c>
      <c r="C1022" s="296" t="s">
        <v>1260</v>
      </c>
      <c r="D1022" s="293" t="s">
        <v>383</v>
      </c>
      <c r="E1022" s="346">
        <v>6.3999999999999997E-5</v>
      </c>
      <c r="F1022" s="315">
        <v>14040.97</v>
      </c>
      <c r="G1022" s="312">
        <f t="shared" ref="G1022" si="48">TRUNC(E1022*F1022,2)</f>
        <v>0.89</v>
      </c>
    </row>
    <row r="1023" spans="1:9" ht="14.1" customHeight="1">
      <c r="D1023" s="319"/>
      <c r="E1023" s="320"/>
      <c r="F1023" s="321" t="s">
        <v>90</v>
      </c>
      <c r="G1023" s="322">
        <v>0</v>
      </c>
    </row>
    <row r="1024" spans="1:9" ht="14.1" customHeight="1">
      <c r="A1024" s="302"/>
      <c r="D1024" s="299"/>
      <c r="E1024" s="300"/>
      <c r="F1024" s="301" t="s">
        <v>92</v>
      </c>
      <c r="G1024" s="312">
        <f>G1022</f>
        <v>0.89</v>
      </c>
    </row>
    <row r="1025" spans="1:9" ht="14.1" customHeight="1">
      <c r="A1025" s="302"/>
      <c r="F1025" s="301" t="s">
        <v>93</v>
      </c>
      <c r="G1025" s="313">
        <f>SUM(G1023:G1024)</f>
        <v>0.89</v>
      </c>
      <c r="H1025" s="304"/>
    </row>
    <row r="1026" spans="1:9" ht="14.1" customHeight="1">
      <c r="A1026" s="305"/>
      <c r="B1026" s="306"/>
      <c r="C1026" s="307"/>
      <c r="D1026" s="308"/>
      <c r="E1026" s="305"/>
      <c r="F1026" s="306"/>
      <c r="G1026" s="306"/>
      <c r="H1026" s="306"/>
      <c r="I1026" s="305"/>
    </row>
    <row r="1028" spans="1:9">
      <c r="A1028" s="122" t="s">
        <v>1194</v>
      </c>
    </row>
    <row r="1029" spans="1:9">
      <c r="A1029" s="122" t="s">
        <v>1195</v>
      </c>
      <c r="B1029" s="148" t="s">
        <v>1345</v>
      </c>
      <c r="C1029" s="123"/>
    </row>
    <row r="1030" spans="1:9" ht="28.5" customHeight="1">
      <c r="A1030" s="122" t="s">
        <v>76</v>
      </c>
      <c r="B1030" s="1161" t="s">
        <v>1346</v>
      </c>
      <c r="C1030" s="1161"/>
      <c r="D1030" s="1161"/>
      <c r="E1030" s="150" t="s">
        <v>383</v>
      </c>
      <c r="F1030" s="289"/>
      <c r="G1030" s="289"/>
    </row>
    <row r="1031" spans="1:9" ht="20.399999999999999">
      <c r="A1031" s="291" t="s">
        <v>30</v>
      </c>
      <c r="B1031" s="292" t="s">
        <v>19</v>
      </c>
      <c r="C1031" s="293" t="s">
        <v>81</v>
      </c>
      <c r="D1031" s="293" t="s">
        <v>77</v>
      </c>
      <c r="E1031" s="294" t="s">
        <v>82</v>
      </c>
      <c r="F1031" s="295" t="s">
        <v>83</v>
      </c>
      <c r="G1031" s="296" t="s">
        <v>84</v>
      </c>
    </row>
    <row r="1032" spans="1:9" ht="30.6">
      <c r="A1032" s="343">
        <v>36397</v>
      </c>
      <c r="B1032" s="345" t="s">
        <v>1344</v>
      </c>
      <c r="C1032" s="296" t="s">
        <v>1260</v>
      </c>
      <c r="D1032" s="293" t="s">
        <v>383</v>
      </c>
      <c r="E1032" s="346">
        <v>1.4399999999999999E-5</v>
      </c>
      <c r="F1032" s="315">
        <v>14040.97</v>
      </c>
      <c r="G1032" s="312">
        <f t="shared" ref="G1032" si="49">TRUNC(E1032*F1032,2)</f>
        <v>0.2</v>
      </c>
    </row>
    <row r="1033" spans="1:9" ht="14.1" customHeight="1">
      <c r="D1033" s="319"/>
      <c r="E1033" s="320"/>
      <c r="F1033" s="321" t="s">
        <v>90</v>
      </c>
      <c r="G1033" s="322">
        <v>0</v>
      </c>
    </row>
    <row r="1034" spans="1:9" ht="14.1" customHeight="1">
      <c r="A1034" s="302"/>
      <c r="D1034" s="299"/>
      <c r="E1034" s="300"/>
      <c r="F1034" s="301" t="s">
        <v>92</v>
      </c>
      <c r="G1034" s="312">
        <f>G1032</f>
        <v>0.2</v>
      </c>
    </row>
    <row r="1035" spans="1:9" ht="14.1" customHeight="1">
      <c r="A1035" s="302"/>
      <c r="F1035" s="301" t="s">
        <v>93</v>
      </c>
      <c r="G1035" s="313">
        <f>SUM(G1033:G1034)</f>
        <v>0.2</v>
      </c>
      <c r="H1035" s="304"/>
    </row>
    <row r="1036" spans="1:9">
      <c r="A1036" s="305"/>
      <c r="B1036" s="306"/>
      <c r="C1036" s="307"/>
      <c r="D1036" s="308"/>
      <c r="E1036" s="305"/>
      <c r="F1036" s="306"/>
      <c r="G1036" s="306"/>
      <c r="H1036" s="306"/>
      <c r="I1036" s="305"/>
    </row>
    <row r="1038" spans="1:9">
      <c r="A1038" s="122" t="s">
        <v>1194</v>
      </c>
    </row>
    <row r="1039" spans="1:9">
      <c r="A1039" s="122" t="s">
        <v>1195</v>
      </c>
      <c r="B1039" s="148" t="s">
        <v>1347</v>
      </c>
      <c r="C1039" s="123"/>
    </row>
    <row r="1040" spans="1:9" ht="36.75" customHeight="1">
      <c r="A1040" s="122" t="s">
        <v>76</v>
      </c>
      <c r="B1040" s="1161" t="s">
        <v>1348</v>
      </c>
      <c r="C1040" s="1161"/>
      <c r="D1040" s="1161"/>
      <c r="E1040" s="150" t="s">
        <v>383</v>
      </c>
      <c r="F1040" s="289"/>
      <c r="G1040" s="289"/>
    </row>
    <row r="1041" spans="1:9" ht="20.399999999999999">
      <c r="A1041" s="291" t="s">
        <v>30</v>
      </c>
      <c r="B1041" s="292" t="s">
        <v>19</v>
      </c>
      <c r="C1041" s="293" t="s">
        <v>81</v>
      </c>
      <c r="D1041" s="293" t="s">
        <v>77</v>
      </c>
      <c r="E1041" s="294" t="s">
        <v>82</v>
      </c>
      <c r="F1041" s="295" t="s">
        <v>83</v>
      </c>
      <c r="G1041" s="296" t="s">
        <v>84</v>
      </c>
    </row>
    <row r="1042" spans="1:9" ht="30.6">
      <c r="A1042" s="343">
        <v>36397</v>
      </c>
      <c r="B1042" s="345" t="s">
        <v>1344</v>
      </c>
      <c r="C1042" s="296" t="s">
        <v>1260</v>
      </c>
      <c r="D1042" s="293" t="s">
        <v>383</v>
      </c>
      <c r="E1042" s="346">
        <v>6.0000000000000002E-5</v>
      </c>
      <c r="F1042" s="315">
        <v>14040.97</v>
      </c>
      <c r="G1042" s="312">
        <f t="shared" ref="G1042" si="50">TRUNC(E1042*F1042,2)</f>
        <v>0.84</v>
      </c>
    </row>
    <row r="1043" spans="1:9" ht="14.1" customHeight="1">
      <c r="D1043" s="319"/>
      <c r="E1043" s="320"/>
      <c r="F1043" s="321" t="s">
        <v>90</v>
      </c>
      <c r="G1043" s="322">
        <v>0</v>
      </c>
    </row>
    <row r="1044" spans="1:9" ht="14.1" customHeight="1">
      <c r="A1044" s="302"/>
      <c r="D1044" s="299"/>
      <c r="E1044" s="300"/>
      <c r="F1044" s="301" t="s">
        <v>92</v>
      </c>
      <c r="G1044" s="312">
        <f>G1042</f>
        <v>0.84</v>
      </c>
    </row>
    <row r="1045" spans="1:9" ht="14.1" customHeight="1">
      <c r="A1045" s="302"/>
      <c r="F1045" s="301" t="s">
        <v>93</v>
      </c>
      <c r="G1045" s="313">
        <f>SUM(G1043:G1044)</f>
        <v>0.84</v>
      </c>
      <c r="H1045" s="304"/>
    </row>
    <row r="1046" spans="1:9">
      <c r="A1046" s="305"/>
      <c r="B1046" s="306"/>
      <c r="C1046" s="307"/>
      <c r="D1046" s="308"/>
      <c r="E1046" s="305"/>
      <c r="F1046" s="306"/>
      <c r="G1046" s="306"/>
      <c r="H1046" s="306"/>
      <c r="I1046" s="305"/>
    </row>
    <row r="1048" spans="1:9">
      <c r="A1048" s="122" t="s">
        <v>1194</v>
      </c>
    </row>
    <row r="1049" spans="1:9">
      <c r="A1049" s="122" t="s">
        <v>1195</v>
      </c>
      <c r="B1049" s="148" t="s">
        <v>1349</v>
      </c>
      <c r="C1049" s="123"/>
    </row>
    <row r="1050" spans="1:9" ht="39.75" customHeight="1">
      <c r="A1050" s="122" t="s">
        <v>76</v>
      </c>
      <c r="B1050" s="1161" t="s">
        <v>1350</v>
      </c>
      <c r="C1050" s="1161"/>
      <c r="D1050" s="1161"/>
      <c r="E1050" s="150" t="s">
        <v>383</v>
      </c>
      <c r="F1050" s="289"/>
      <c r="G1050" s="289"/>
    </row>
    <row r="1051" spans="1:9" ht="20.399999999999999">
      <c r="A1051" s="291" t="s">
        <v>30</v>
      </c>
      <c r="B1051" s="292" t="s">
        <v>19</v>
      </c>
      <c r="C1051" s="293" t="s">
        <v>81</v>
      </c>
      <c r="D1051" s="293" t="s">
        <v>77</v>
      </c>
      <c r="E1051" s="294" t="s">
        <v>82</v>
      </c>
      <c r="F1051" s="295" t="s">
        <v>83</v>
      </c>
      <c r="G1051" s="296" t="s">
        <v>84</v>
      </c>
    </row>
    <row r="1052" spans="1:9" ht="20.399999999999999">
      <c r="A1052" s="343" t="s">
        <v>1351</v>
      </c>
      <c r="B1052" s="345" t="s">
        <v>1352</v>
      </c>
      <c r="C1052" s="296" t="s">
        <v>87</v>
      </c>
      <c r="D1052" s="293" t="s">
        <v>1353</v>
      </c>
      <c r="E1052" s="344">
        <v>2.5</v>
      </c>
      <c r="F1052" s="315">
        <v>0.47</v>
      </c>
      <c r="G1052" s="312">
        <f t="shared" ref="G1052" si="51">TRUNC(E1052*F1052,2)</f>
        <v>1.17</v>
      </c>
    </row>
    <row r="1053" spans="1:9" ht="14.1" customHeight="1">
      <c r="D1053" s="319"/>
      <c r="E1053" s="320"/>
      <c r="F1053" s="321" t="s">
        <v>90</v>
      </c>
      <c r="G1053" s="322">
        <v>0</v>
      </c>
    </row>
    <row r="1054" spans="1:9" ht="14.1" customHeight="1">
      <c r="A1054" s="302"/>
      <c r="D1054" s="299"/>
      <c r="E1054" s="300"/>
      <c r="F1054" s="301" t="s">
        <v>92</v>
      </c>
      <c r="G1054" s="312">
        <f>G1052</f>
        <v>1.17</v>
      </c>
    </row>
    <row r="1055" spans="1:9" ht="14.1" customHeight="1">
      <c r="A1055" s="302"/>
      <c r="F1055" s="301" t="s">
        <v>93</v>
      </c>
      <c r="G1055" s="313">
        <f>SUM(G1053:G1054)</f>
        <v>1.17</v>
      </c>
      <c r="H1055" s="304"/>
    </row>
    <row r="1056" spans="1:9">
      <c r="A1056" s="305"/>
      <c r="B1056" s="306"/>
      <c r="C1056" s="307"/>
      <c r="D1056" s="308"/>
      <c r="E1056" s="305"/>
      <c r="F1056" s="306"/>
      <c r="G1056" s="306"/>
      <c r="H1056" s="306"/>
      <c r="I1056" s="305"/>
    </row>
    <row r="1058" spans="1:9">
      <c r="A1058" s="122" t="s">
        <v>1194</v>
      </c>
    </row>
    <row r="1059" spans="1:9">
      <c r="A1059" s="122" t="s">
        <v>1195</v>
      </c>
      <c r="B1059" s="148" t="s">
        <v>1354</v>
      </c>
      <c r="C1059" s="123"/>
    </row>
    <row r="1060" spans="1:9" ht="37.5" customHeight="1">
      <c r="A1060" s="122" t="s">
        <v>76</v>
      </c>
      <c r="B1060" s="1161" t="s">
        <v>1355</v>
      </c>
      <c r="C1060" s="1161"/>
      <c r="D1060" s="1161"/>
      <c r="E1060" s="150" t="s">
        <v>1256</v>
      </c>
      <c r="F1060" s="289"/>
      <c r="G1060" s="289"/>
    </row>
    <row r="1061" spans="1:9" ht="20.399999999999999">
      <c r="A1061" s="291" t="s">
        <v>30</v>
      </c>
      <c r="B1061" s="292" t="s">
        <v>19</v>
      </c>
      <c r="C1061" s="293" t="s">
        <v>81</v>
      </c>
      <c r="D1061" s="293" t="s">
        <v>77</v>
      </c>
      <c r="E1061" s="294" t="s">
        <v>82</v>
      </c>
      <c r="F1061" s="295" t="s">
        <v>83</v>
      </c>
      <c r="G1061" s="296" t="s">
        <v>84</v>
      </c>
    </row>
    <row r="1062" spans="1:9" ht="30.6">
      <c r="A1062" s="343">
        <v>89221</v>
      </c>
      <c r="B1062" s="337" t="s">
        <v>1336</v>
      </c>
      <c r="C1062" s="338" t="s">
        <v>1260</v>
      </c>
      <c r="D1062" s="339" t="s">
        <v>383</v>
      </c>
      <c r="E1062" s="340">
        <v>1</v>
      </c>
      <c r="F1062" s="827">
        <v>0.96</v>
      </c>
      <c r="G1062" s="342">
        <f t="shared" ref="G1062:G1063" si="52">TRUNC(E1062*F1062,2)</f>
        <v>0.96</v>
      </c>
    </row>
    <row r="1063" spans="1:9" ht="30.6">
      <c r="A1063" s="343" t="s">
        <v>1337</v>
      </c>
      <c r="B1063" s="297" t="s">
        <v>1338</v>
      </c>
      <c r="C1063" s="296" t="s">
        <v>1260</v>
      </c>
      <c r="D1063" s="293" t="s">
        <v>383</v>
      </c>
      <c r="E1063" s="344">
        <v>1</v>
      </c>
      <c r="F1063" s="825">
        <v>0.11</v>
      </c>
      <c r="G1063" s="342">
        <f t="shared" si="52"/>
        <v>0.11</v>
      </c>
    </row>
    <row r="1064" spans="1:9" ht="14.1" customHeight="1">
      <c r="D1064" s="319"/>
      <c r="E1064" s="320"/>
      <c r="F1064" s="321" t="s">
        <v>90</v>
      </c>
      <c r="G1064" s="312"/>
    </row>
    <row r="1065" spans="1:9" ht="14.1" customHeight="1">
      <c r="A1065" s="302"/>
      <c r="D1065" s="299"/>
      <c r="E1065" s="300"/>
      <c r="F1065" s="301" t="s">
        <v>92</v>
      </c>
      <c r="G1065" s="312">
        <f>SUM(G1062:G1063)</f>
        <v>1.07</v>
      </c>
    </row>
    <row r="1066" spans="1:9" ht="14.1" customHeight="1">
      <c r="A1066" s="302"/>
      <c r="F1066" s="301" t="s">
        <v>93</v>
      </c>
      <c r="G1066" s="820">
        <f>SUM(G1064:G1065)</f>
        <v>1.07</v>
      </c>
      <c r="H1066" s="304"/>
    </row>
    <row r="1067" spans="1:9">
      <c r="A1067" s="305"/>
      <c r="B1067" s="306"/>
      <c r="C1067" s="307"/>
      <c r="D1067" s="308"/>
      <c r="E1067" s="305"/>
      <c r="F1067" s="306"/>
      <c r="G1067" s="306"/>
      <c r="H1067" s="306"/>
      <c r="I1067" s="305"/>
    </row>
    <row r="1069" spans="1:9">
      <c r="A1069" s="122" t="s">
        <v>1194</v>
      </c>
    </row>
    <row r="1070" spans="1:9">
      <c r="A1070" s="122" t="s">
        <v>1195</v>
      </c>
      <c r="B1070" s="148" t="s">
        <v>1356</v>
      </c>
      <c r="C1070" s="123"/>
    </row>
    <row r="1071" spans="1:9" ht="28.5" customHeight="1">
      <c r="A1071" s="122" t="s">
        <v>76</v>
      </c>
      <c r="B1071" s="1161" t="s">
        <v>1357</v>
      </c>
      <c r="C1071" s="1161"/>
      <c r="D1071" s="1161"/>
      <c r="E1071" s="150" t="s">
        <v>1277</v>
      </c>
      <c r="F1071" s="289"/>
      <c r="G1071" s="289"/>
    </row>
    <row r="1072" spans="1:9" ht="20.399999999999999">
      <c r="A1072" s="291" t="s">
        <v>30</v>
      </c>
      <c r="B1072" s="292" t="s">
        <v>19</v>
      </c>
      <c r="C1072" s="293" t="s">
        <v>81</v>
      </c>
      <c r="D1072" s="293" t="s">
        <v>77</v>
      </c>
      <c r="E1072" s="294" t="s">
        <v>82</v>
      </c>
      <c r="F1072" s="295" t="s">
        <v>83</v>
      </c>
      <c r="G1072" s="296" t="s">
        <v>84</v>
      </c>
    </row>
    <row r="1073" spans="1:9" ht="14.1" customHeight="1">
      <c r="A1073" s="1159" t="s">
        <v>1358</v>
      </c>
      <c r="B1073" s="1129" t="s">
        <v>1278</v>
      </c>
      <c r="C1073" s="347" t="s">
        <v>104</v>
      </c>
      <c r="D1073" s="1189" t="s">
        <v>383</v>
      </c>
      <c r="E1073" s="1285">
        <v>1</v>
      </c>
      <c r="F1073" s="341">
        <f>G736</f>
        <v>10.99</v>
      </c>
      <c r="G1073" s="338">
        <f>TRUNC(E1073*F1073,2)</f>
        <v>10.99</v>
      </c>
    </row>
    <row r="1074" spans="1:9" ht="14.1" customHeight="1">
      <c r="A1074" s="1164"/>
      <c r="B1074" s="1130"/>
      <c r="C1074" s="338" t="s">
        <v>87</v>
      </c>
      <c r="D1074" s="1190"/>
      <c r="E1074" s="1286"/>
      <c r="F1074" s="341">
        <f>G737</f>
        <v>3.99</v>
      </c>
      <c r="G1074" s="342">
        <f>TRUNC(E1073*F1074,2)</f>
        <v>3.99</v>
      </c>
    </row>
    <row r="1075" spans="1:9" ht="30.6">
      <c r="A1075" s="336" t="s">
        <v>1359</v>
      </c>
      <c r="B1075" s="337" t="s">
        <v>1360</v>
      </c>
      <c r="C1075" s="338" t="s">
        <v>1260</v>
      </c>
      <c r="D1075" s="339" t="s">
        <v>383</v>
      </c>
      <c r="E1075" s="340">
        <v>1</v>
      </c>
      <c r="F1075" s="341">
        <f>G1091</f>
        <v>0.05</v>
      </c>
      <c r="G1075" s="342">
        <f t="shared" ref="G1075:G1078" si="53">TRUNC(E1075*F1075,2)</f>
        <v>0.05</v>
      </c>
    </row>
    <row r="1076" spans="1:9" ht="20.399999999999999">
      <c r="A1076" s="336" t="s">
        <v>1361</v>
      </c>
      <c r="B1076" s="337" t="s">
        <v>1362</v>
      </c>
      <c r="C1076" s="338" t="s">
        <v>1260</v>
      </c>
      <c r="D1076" s="339" t="s">
        <v>383</v>
      </c>
      <c r="E1076" s="340">
        <v>1</v>
      </c>
      <c r="F1076" s="341">
        <f>G1101</f>
        <v>0.01</v>
      </c>
      <c r="G1076" s="342">
        <f t="shared" si="53"/>
        <v>0.01</v>
      </c>
    </row>
    <row r="1077" spans="1:9" ht="30.6">
      <c r="A1077" s="336" t="s">
        <v>1363</v>
      </c>
      <c r="B1077" s="337" t="s">
        <v>1364</v>
      </c>
      <c r="C1077" s="338" t="s">
        <v>1260</v>
      </c>
      <c r="D1077" s="339" t="s">
        <v>383</v>
      </c>
      <c r="E1077" s="340">
        <v>1</v>
      </c>
      <c r="F1077" s="341">
        <f>G1111</f>
        <v>0.04</v>
      </c>
      <c r="G1077" s="342">
        <f t="shared" si="53"/>
        <v>0.04</v>
      </c>
    </row>
    <row r="1078" spans="1:9" ht="30.6">
      <c r="A1078" s="343" t="s">
        <v>1365</v>
      </c>
      <c r="B1078" s="297" t="s">
        <v>1366</v>
      </c>
      <c r="C1078" s="296" t="s">
        <v>1260</v>
      </c>
      <c r="D1078" s="293" t="s">
        <v>383</v>
      </c>
      <c r="E1078" s="344">
        <v>1</v>
      </c>
      <c r="F1078" s="298">
        <f>G1121</f>
        <v>1.48</v>
      </c>
      <c r="G1078" s="342">
        <f t="shared" si="53"/>
        <v>1.48</v>
      </c>
    </row>
    <row r="1079" spans="1:9">
      <c r="D1079" s="319"/>
      <c r="E1079" s="320"/>
      <c r="F1079" s="321" t="s">
        <v>90</v>
      </c>
      <c r="G1079" s="312">
        <f>G1073</f>
        <v>10.99</v>
      </c>
    </row>
    <row r="1080" spans="1:9">
      <c r="A1080" s="302"/>
      <c r="D1080" s="299"/>
      <c r="E1080" s="300"/>
      <c r="F1080" s="301" t="s">
        <v>92</v>
      </c>
      <c r="G1080" s="312">
        <f>SUM(G1074:G1078)</f>
        <v>5.57</v>
      </c>
    </row>
    <row r="1081" spans="1:9">
      <c r="A1081" s="302"/>
      <c r="F1081" s="301" t="s">
        <v>93</v>
      </c>
      <c r="G1081" s="313">
        <f>SUM(G1079:G1080)</f>
        <v>16.560000000000002</v>
      </c>
      <c r="H1081" s="304"/>
    </row>
    <row r="1082" spans="1:9">
      <c r="A1082" s="305"/>
      <c r="B1082" s="306"/>
      <c r="C1082" s="307"/>
      <c r="D1082" s="308"/>
      <c r="E1082" s="305"/>
      <c r="F1082" s="306"/>
      <c r="G1082" s="306"/>
      <c r="H1082" s="306"/>
      <c r="I1082" s="305"/>
    </row>
    <row r="1084" spans="1:9">
      <c r="A1084" s="122" t="s">
        <v>1194</v>
      </c>
    </row>
    <row r="1085" spans="1:9">
      <c r="A1085" s="122" t="s">
        <v>1195</v>
      </c>
      <c r="B1085" s="148" t="s">
        <v>1367</v>
      </c>
      <c r="C1085" s="123"/>
    </row>
    <row r="1086" spans="1:9" ht="24" customHeight="1">
      <c r="A1086" s="122" t="s">
        <v>76</v>
      </c>
      <c r="B1086" s="1161" t="s">
        <v>1360</v>
      </c>
      <c r="C1086" s="1161"/>
      <c r="D1086" s="1161"/>
      <c r="E1086" s="150" t="s">
        <v>383</v>
      </c>
      <c r="F1086" s="289"/>
      <c r="G1086" s="289"/>
    </row>
    <row r="1087" spans="1:9" ht="20.399999999999999">
      <c r="A1087" s="291" t="s">
        <v>30</v>
      </c>
      <c r="B1087" s="292" t="s">
        <v>19</v>
      </c>
      <c r="C1087" s="293" t="s">
        <v>81</v>
      </c>
      <c r="D1087" s="293" t="s">
        <v>77</v>
      </c>
      <c r="E1087" s="294" t="s">
        <v>82</v>
      </c>
      <c r="F1087" s="295" t="s">
        <v>83</v>
      </c>
      <c r="G1087" s="296" t="s">
        <v>84</v>
      </c>
    </row>
    <row r="1088" spans="1:9" ht="30.6">
      <c r="A1088" s="309" t="s">
        <v>1368</v>
      </c>
      <c r="B1088" s="297" t="s">
        <v>1369</v>
      </c>
      <c r="C1088" s="295" t="s">
        <v>1260</v>
      </c>
      <c r="D1088" s="293" t="s">
        <v>77</v>
      </c>
      <c r="E1088" s="294">
        <v>7.2000000000000002E-5</v>
      </c>
      <c r="F1088" s="298">
        <v>801.26</v>
      </c>
      <c r="G1088" s="296">
        <f>TRUNC(E1088*F1088,2)</f>
        <v>0.05</v>
      </c>
    </row>
    <row r="1089" spans="1:9" ht="14.1" customHeight="1">
      <c r="D1089" s="299"/>
      <c r="E1089" s="300"/>
      <c r="F1089" s="301" t="s">
        <v>90</v>
      </c>
      <c r="G1089" s="296"/>
    </row>
    <row r="1090" spans="1:9" ht="14.1" customHeight="1">
      <c r="D1090" s="299"/>
      <c r="E1090" s="300"/>
      <c r="F1090" s="301" t="s">
        <v>92</v>
      </c>
      <c r="G1090" s="296">
        <f>G1088</f>
        <v>0.05</v>
      </c>
    </row>
    <row r="1091" spans="1:9" ht="14.1" customHeight="1">
      <c r="A1091" s="302"/>
      <c r="D1091" s="299"/>
      <c r="E1091" s="300"/>
      <c r="F1091" s="301" t="s">
        <v>93</v>
      </c>
      <c r="G1091" s="303">
        <f>SUM(G1089:G1090)</f>
        <v>0.05</v>
      </c>
      <c r="H1091" s="304"/>
    </row>
    <row r="1092" spans="1:9">
      <c r="A1092" s="305"/>
      <c r="B1092" s="306"/>
      <c r="C1092" s="307"/>
      <c r="D1092" s="308"/>
      <c r="E1092" s="305"/>
      <c r="F1092" s="306"/>
      <c r="G1092" s="306"/>
      <c r="H1092" s="306"/>
      <c r="I1092" s="305"/>
    </row>
    <row r="1094" spans="1:9">
      <c r="A1094" s="122" t="s">
        <v>1194</v>
      </c>
    </row>
    <row r="1095" spans="1:9">
      <c r="A1095" s="122" t="s">
        <v>1195</v>
      </c>
      <c r="B1095" s="148" t="s">
        <v>1370</v>
      </c>
      <c r="C1095" s="123"/>
    </row>
    <row r="1096" spans="1:9" ht="20.25" customHeight="1">
      <c r="A1096" s="122" t="s">
        <v>76</v>
      </c>
      <c r="B1096" s="1161" t="s">
        <v>1371</v>
      </c>
      <c r="C1096" s="1161"/>
      <c r="D1096" s="1161"/>
      <c r="E1096" s="150" t="s">
        <v>383</v>
      </c>
      <c r="F1096" s="289"/>
      <c r="G1096" s="289"/>
    </row>
    <row r="1097" spans="1:9" ht="20.399999999999999">
      <c r="A1097" s="291" t="s">
        <v>30</v>
      </c>
      <c r="B1097" s="292" t="s">
        <v>19</v>
      </c>
      <c r="C1097" s="293" t="s">
        <v>81</v>
      </c>
      <c r="D1097" s="293" t="s">
        <v>77</v>
      </c>
      <c r="E1097" s="294" t="s">
        <v>82</v>
      </c>
      <c r="F1097" s="295" t="s">
        <v>83</v>
      </c>
      <c r="G1097" s="296" t="s">
        <v>84</v>
      </c>
    </row>
    <row r="1098" spans="1:9" ht="30.6">
      <c r="A1098" s="309" t="s">
        <v>1368</v>
      </c>
      <c r="B1098" s="297" t="s">
        <v>1369</v>
      </c>
      <c r="C1098" s="295" t="s">
        <v>1260</v>
      </c>
      <c r="D1098" s="293" t="s">
        <v>77</v>
      </c>
      <c r="E1098" s="294">
        <v>1.4399999999999999E-5</v>
      </c>
      <c r="F1098" s="298">
        <v>801.26</v>
      </c>
      <c r="G1098" s="296">
        <f>TRUNC(E1098*F1098,2)</f>
        <v>0.01</v>
      </c>
    </row>
    <row r="1099" spans="1:9" ht="14.1" customHeight="1">
      <c r="D1099" s="299"/>
      <c r="E1099" s="300"/>
      <c r="F1099" s="301" t="s">
        <v>90</v>
      </c>
      <c r="G1099" s="296"/>
    </row>
    <row r="1100" spans="1:9" ht="14.1" customHeight="1">
      <c r="D1100" s="299"/>
      <c r="E1100" s="300"/>
      <c r="F1100" s="301" t="s">
        <v>92</v>
      </c>
      <c r="G1100" s="296">
        <f>G1098</f>
        <v>0.01</v>
      </c>
    </row>
    <row r="1101" spans="1:9" ht="14.1" customHeight="1">
      <c r="A1101" s="302"/>
      <c r="D1101" s="299"/>
      <c r="E1101" s="300"/>
      <c r="F1101" s="301" t="s">
        <v>93</v>
      </c>
      <c r="G1101" s="303">
        <f>SUM(G1099:G1100)</f>
        <v>0.01</v>
      </c>
      <c r="H1101" s="304"/>
    </row>
    <row r="1102" spans="1:9">
      <c r="A1102" s="305"/>
      <c r="B1102" s="306"/>
      <c r="C1102" s="307"/>
      <c r="D1102" s="308"/>
      <c r="E1102" s="305"/>
      <c r="F1102" s="306"/>
      <c r="G1102" s="306"/>
      <c r="H1102" s="306"/>
      <c r="I1102" s="305"/>
    </row>
    <row r="1104" spans="1:9">
      <c r="A1104" s="122" t="s">
        <v>1194</v>
      </c>
    </row>
    <row r="1105" spans="1:9">
      <c r="A1105" s="122" t="s">
        <v>1195</v>
      </c>
      <c r="B1105" s="148" t="s">
        <v>1372</v>
      </c>
      <c r="C1105" s="123"/>
    </row>
    <row r="1106" spans="1:9" ht="25.5" customHeight="1">
      <c r="A1106" s="122" t="s">
        <v>76</v>
      </c>
      <c r="B1106" s="1161" t="s">
        <v>1373</v>
      </c>
      <c r="C1106" s="1161"/>
      <c r="D1106" s="1161"/>
      <c r="E1106" s="150" t="s">
        <v>383</v>
      </c>
      <c r="F1106" s="289"/>
      <c r="G1106" s="289"/>
    </row>
    <row r="1107" spans="1:9" ht="20.399999999999999">
      <c r="A1107" s="291" t="s">
        <v>30</v>
      </c>
      <c r="B1107" s="292" t="s">
        <v>19</v>
      </c>
      <c r="C1107" s="293" t="s">
        <v>81</v>
      </c>
      <c r="D1107" s="293" t="s">
        <v>77</v>
      </c>
      <c r="E1107" s="294" t="s">
        <v>82</v>
      </c>
      <c r="F1107" s="295" t="s">
        <v>83</v>
      </c>
      <c r="G1107" s="296" t="s">
        <v>84</v>
      </c>
    </row>
    <row r="1108" spans="1:9" ht="30.6">
      <c r="A1108" s="309" t="s">
        <v>1368</v>
      </c>
      <c r="B1108" s="297" t="s">
        <v>1369</v>
      </c>
      <c r="C1108" s="295" t="s">
        <v>1260</v>
      </c>
      <c r="D1108" s="293" t="s">
        <v>77</v>
      </c>
      <c r="E1108" s="294">
        <v>5.0000000000000002E-5</v>
      </c>
      <c r="F1108" s="298">
        <v>801.26</v>
      </c>
      <c r="G1108" s="296">
        <f>TRUNC(E1108*F1108,2)</f>
        <v>0.04</v>
      </c>
    </row>
    <row r="1109" spans="1:9" ht="14.1" customHeight="1">
      <c r="D1109" s="299"/>
      <c r="E1109" s="300"/>
      <c r="F1109" s="301" t="s">
        <v>90</v>
      </c>
      <c r="G1109" s="296"/>
    </row>
    <row r="1110" spans="1:9" ht="14.1" customHeight="1">
      <c r="D1110" s="299"/>
      <c r="E1110" s="300"/>
      <c r="F1110" s="301" t="s">
        <v>92</v>
      </c>
      <c r="G1110" s="296">
        <f>G1108</f>
        <v>0.04</v>
      </c>
    </row>
    <row r="1111" spans="1:9" ht="14.1" customHeight="1">
      <c r="A1111" s="302"/>
      <c r="D1111" s="299"/>
      <c r="E1111" s="300"/>
      <c r="F1111" s="301" t="s">
        <v>93</v>
      </c>
      <c r="G1111" s="303">
        <f>SUM(G1109:G1110)</f>
        <v>0.04</v>
      </c>
      <c r="H1111" s="304"/>
    </row>
    <row r="1112" spans="1:9">
      <c r="A1112" s="305"/>
      <c r="B1112" s="306"/>
      <c r="C1112" s="307"/>
      <c r="D1112" s="308"/>
      <c r="E1112" s="305"/>
      <c r="F1112" s="306"/>
      <c r="G1112" s="306"/>
      <c r="H1112" s="306"/>
      <c r="I1112" s="305"/>
    </row>
    <row r="1114" spans="1:9">
      <c r="A1114" s="122" t="s">
        <v>1194</v>
      </c>
    </row>
    <row r="1115" spans="1:9">
      <c r="A1115" s="122" t="s">
        <v>1195</v>
      </c>
      <c r="B1115" s="148" t="s">
        <v>1374</v>
      </c>
      <c r="C1115" s="123"/>
    </row>
    <row r="1116" spans="1:9" ht="23.25" customHeight="1">
      <c r="A1116" s="122" t="s">
        <v>76</v>
      </c>
      <c r="B1116" s="1161" t="s">
        <v>1375</v>
      </c>
      <c r="C1116" s="1161"/>
      <c r="D1116" s="1161"/>
      <c r="E1116" s="150" t="s">
        <v>383</v>
      </c>
      <c r="F1116" s="289"/>
      <c r="G1116" s="289"/>
    </row>
    <row r="1117" spans="1:9" ht="20.399999999999999">
      <c r="A1117" s="291" t="s">
        <v>30</v>
      </c>
      <c r="B1117" s="292" t="s">
        <v>19</v>
      </c>
      <c r="C1117" s="293" t="s">
        <v>81</v>
      </c>
      <c r="D1117" s="293" t="s">
        <v>77</v>
      </c>
      <c r="E1117" s="294" t="s">
        <v>82</v>
      </c>
      <c r="F1117" s="295" t="s">
        <v>83</v>
      </c>
      <c r="G1117" s="296" t="s">
        <v>84</v>
      </c>
    </row>
    <row r="1118" spans="1:9" ht="20.399999999999999">
      <c r="A1118" s="309">
        <v>2705</v>
      </c>
      <c r="B1118" s="297" t="s">
        <v>1352</v>
      </c>
      <c r="C1118" s="295" t="s">
        <v>87</v>
      </c>
      <c r="D1118" s="293" t="s">
        <v>1353</v>
      </c>
      <c r="E1118" s="294">
        <v>3.17</v>
      </c>
      <c r="F1118" s="298">
        <v>0.47</v>
      </c>
      <c r="G1118" s="296">
        <f>TRUNC(E1118*F1118,2)</f>
        <v>1.48</v>
      </c>
    </row>
    <row r="1119" spans="1:9" ht="14.1" customHeight="1">
      <c r="D1119" s="299"/>
      <c r="E1119" s="300"/>
      <c r="F1119" s="301" t="s">
        <v>90</v>
      </c>
      <c r="G1119" s="296"/>
    </row>
    <row r="1120" spans="1:9" ht="14.1" customHeight="1">
      <c r="D1120" s="299"/>
      <c r="E1120" s="300"/>
      <c r="F1120" s="301" t="s">
        <v>92</v>
      </c>
      <c r="G1120" s="296">
        <f>G1118</f>
        <v>1.48</v>
      </c>
    </row>
    <row r="1121" spans="1:9" ht="14.1" customHeight="1">
      <c r="A1121" s="302"/>
      <c r="D1121" s="299"/>
      <c r="E1121" s="300"/>
      <c r="F1121" s="301" t="s">
        <v>93</v>
      </c>
      <c r="G1121" s="303">
        <f>SUM(G1119:G1120)</f>
        <v>1.48</v>
      </c>
      <c r="H1121" s="304"/>
    </row>
    <row r="1122" spans="1:9">
      <c r="A1122" s="305"/>
      <c r="B1122" s="306"/>
      <c r="C1122" s="307"/>
      <c r="D1122" s="308"/>
      <c r="E1122" s="305"/>
      <c r="F1122" s="306"/>
      <c r="G1122" s="306"/>
      <c r="H1122" s="306"/>
      <c r="I1122" s="305"/>
    </row>
    <row r="1124" spans="1:9">
      <c r="A1124" s="122" t="s">
        <v>1194</v>
      </c>
    </row>
    <row r="1125" spans="1:9">
      <c r="A1125" s="122" t="s">
        <v>1195</v>
      </c>
      <c r="B1125" s="148" t="s">
        <v>1376</v>
      </c>
      <c r="C1125" s="123"/>
    </row>
    <row r="1126" spans="1:9" ht="24" customHeight="1">
      <c r="A1126" s="122" t="s">
        <v>76</v>
      </c>
      <c r="B1126" s="1161" t="s">
        <v>1377</v>
      </c>
      <c r="C1126" s="1161"/>
      <c r="D1126" s="1161"/>
      <c r="E1126" s="150" t="s">
        <v>1277</v>
      </c>
      <c r="F1126" s="289"/>
      <c r="G1126" s="289"/>
    </row>
    <row r="1127" spans="1:9" ht="20.399999999999999">
      <c r="A1127" s="291" t="s">
        <v>30</v>
      </c>
      <c r="B1127" s="292" t="s">
        <v>19</v>
      </c>
      <c r="C1127" s="293" t="s">
        <v>81</v>
      </c>
      <c r="D1127" s="293" t="s">
        <v>77</v>
      </c>
      <c r="E1127" s="294" t="s">
        <v>82</v>
      </c>
      <c r="F1127" s="295" t="s">
        <v>83</v>
      </c>
      <c r="G1127" s="296" t="s">
        <v>84</v>
      </c>
    </row>
    <row r="1128" spans="1:9" ht="14.1" customHeight="1">
      <c r="A1128" s="1159" t="s">
        <v>1358</v>
      </c>
      <c r="B1128" s="1129" t="s">
        <v>1278</v>
      </c>
      <c r="C1128" s="347" t="s">
        <v>104</v>
      </c>
      <c r="D1128" s="1189" t="s">
        <v>383</v>
      </c>
      <c r="E1128" s="1285">
        <v>1</v>
      </c>
      <c r="F1128" s="341">
        <f>G736</f>
        <v>10.99</v>
      </c>
      <c r="G1128" s="338">
        <f>TRUNC(E1128*F1128,2)</f>
        <v>10.99</v>
      </c>
    </row>
    <row r="1129" spans="1:9" ht="14.1" customHeight="1">
      <c r="A1129" s="1164"/>
      <c r="B1129" s="1130"/>
      <c r="C1129" s="338" t="s">
        <v>87</v>
      </c>
      <c r="D1129" s="1190"/>
      <c r="E1129" s="1286"/>
      <c r="F1129" s="341">
        <f>G737</f>
        <v>3.99</v>
      </c>
      <c r="G1129" s="342">
        <f>TRUNC(E1128*F1129,2)</f>
        <v>3.99</v>
      </c>
    </row>
    <row r="1130" spans="1:9" ht="30.6">
      <c r="A1130" s="336" t="s">
        <v>1359</v>
      </c>
      <c r="B1130" s="337" t="s">
        <v>1360</v>
      </c>
      <c r="C1130" s="338" t="s">
        <v>1260</v>
      </c>
      <c r="D1130" s="339" t="s">
        <v>383</v>
      </c>
      <c r="E1130" s="340">
        <v>1</v>
      </c>
      <c r="F1130" s="341">
        <f>G1091</f>
        <v>0.05</v>
      </c>
      <c r="G1130" s="342">
        <f t="shared" ref="G1130:G1131" si="54">TRUNC(E1130*F1130,2)</f>
        <v>0.05</v>
      </c>
    </row>
    <row r="1131" spans="1:9" ht="20.399999999999999">
      <c r="A1131" s="348" t="s">
        <v>1361</v>
      </c>
      <c r="B1131" s="345" t="s">
        <v>1362</v>
      </c>
      <c r="C1131" s="294" t="s">
        <v>1260</v>
      </c>
      <c r="D1131" s="339" t="s">
        <v>383</v>
      </c>
      <c r="E1131" s="340">
        <v>1</v>
      </c>
      <c r="F1131" s="341">
        <f>G1101</f>
        <v>0.01</v>
      </c>
      <c r="G1131" s="342">
        <f t="shared" si="54"/>
        <v>0.01</v>
      </c>
    </row>
    <row r="1132" spans="1:9" ht="14.1" customHeight="1">
      <c r="D1132" s="299"/>
      <c r="E1132" s="300"/>
      <c r="F1132" s="301" t="s">
        <v>90</v>
      </c>
      <c r="G1132" s="296">
        <f>G1128</f>
        <v>10.99</v>
      </c>
    </row>
    <row r="1133" spans="1:9" ht="14.1" customHeight="1">
      <c r="D1133" s="299"/>
      <c r="E1133" s="300"/>
      <c r="F1133" s="301" t="s">
        <v>92</v>
      </c>
      <c r="G1133" s="312">
        <f>G1129+G1130+G1131</f>
        <v>4.05</v>
      </c>
    </row>
    <row r="1134" spans="1:9" ht="14.1" customHeight="1">
      <c r="A1134" s="302"/>
      <c r="D1134" s="299"/>
      <c r="E1134" s="300"/>
      <c r="F1134" s="301" t="s">
        <v>93</v>
      </c>
      <c r="G1134" s="303">
        <f>SUM(G1132:G1133)</f>
        <v>15.04</v>
      </c>
      <c r="H1134" s="304"/>
    </row>
    <row r="1135" spans="1:9">
      <c r="A1135" s="305"/>
      <c r="B1135" s="306"/>
      <c r="C1135" s="307"/>
      <c r="D1135" s="308"/>
      <c r="E1135" s="305"/>
      <c r="F1135" s="306"/>
      <c r="G1135" s="306"/>
      <c r="H1135" s="306"/>
      <c r="I1135" s="305"/>
    </row>
    <row r="1137" spans="1:9">
      <c r="A1137" s="122" t="s">
        <v>1194</v>
      </c>
    </row>
    <row r="1138" spans="1:9">
      <c r="A1138" s="122" t="s">
        <v>1195</v>
      </c>
      <c r="B1138" s="149" t="s">
        <v>1378</v>
      </c>
      <c r="C1138" s="123"/>
    </row>
    <row r="1139" spans="1:9" ht="20.399999999999999">
      <c r="A1139" s="122" t="s">
        <v>76</v>
      </c>
      <c r="B1139" s="290" t="s">
        <v>1379</v>
      </c>
      <c r="C1139" s="150" t="s">
        <v>383</v>
      </c>
      <c r="E1139" s="289" t="s">
        <v>2</v>
      </c>
      <c r="F1139" s="289"/>
      <c r="G1139" s="289"/>
    </row>
    <row r="1140" spans="1:9" ht="20.399999999999999">
      <c r="A1140" s="291" t="s">
        <v>30</v>
      </c>
      <c r="B1140" s="292" t="s">
        <v>19</v>
      </c>
      <c r="C1140" s="293" t="s">
        <v>81</v>
      </c>
      <c r="D1140" s="293" t="s">
        <v>77</v>
      </c>
      <c r="E1140" s="294" t="s">
        <v>82</v>
      </c>
      <c r="F1140" s="295" t="s">
        <v>83</v>
      </c>
      <c r="G1140" s="296" t="s">
        <v>84</v>
      </c>
    </row>
    <row r="1141" spans="1:9" ht="14.1" customHeight="1">
      <c r="A1141" s="309">
        <v>6114</v>
      </c>
      <c r="B1141" s="297" t="s">
        <v>1380</v>
      </c>
      <c r="C1141" s="295" t="s">
        <v>104</v>
      </c>
      <c r="D1141" s="293" t="s">
        <v>383</v>
      </c>
      <c r="E1141" s="294">
        <v>9.2999999999999992E-3</v>
      </c>
      <c r="F1141" s="298">
        <f>10.22</f>
        <v>10.220000000000001</v>
      </c>
      <c r="G1141" s="296">
        <f>TRUNC(E1141*F1141,2)</f>
        <v>0.09</v>
      </c>
    </row>
    <row r="1142" spans="1:9" ht="14.1" customHeight="1">
      <c r="D1142" s="299"/>
      <c r="E1142" s="300"/>
      <c r="F1142" s="301" t="s">
        <v>90</v>
      </c>
      <c r="G1142" s="296">
        <f>G1141</f>
        <v>0.09</v>
      </c>
    </row>
    <row r="1143" spans="1:9" ht="14.1" customHeight="1">
      <c r="D1143" s="299"/>
      <c r="E1143" s="300"/>
      <c r="F1143" s="301" t="s">
        <v>92</v>
      </c>
      <c r="G1143" s="296"/>
    </row>
    <row r="1144" spans="1:9" ht="14.1" customHeight="1">
      <c r="A1144" s="302"/>
      <c r="D1144" s="299"/>
      <c r="E1144" s="300"/>
      <c r="F1144" s="301" t="s">
        <v>93</v>
      </c>
      <c r="G1144" s="303">
        <f>SUM(G1142:G1143)</f>
        <v>0.09</v>
      </c>
      <c r="H1144" s="304"/>
    </row>
    <row r="1145" spans="1:9">
      <c r="A1145" s="305"/>
      <c r="B1145" s="306"/>
      <c r="C1145" s="307"/>
      <c r="D1145" s="308"/>
      <c r="E1145" s="305"/>
      <c r="F1145" s="306"/>
      <c r="G1145" s="306"/>
      <c r="H1145" s="306"/>
      <c r="I1145" s="305"/>
    </row>
    <row r="1147" spans="1:9">
      <c r="A1147" s="122" t="s">
        <v>1194</v>
      </c>
    </row>
    <row r="1148" spans="1:9">
      <c r="A1148" s="122" t="s">
        <v>1195</v>
      </c>
      <c r="B1148" s="149" t="s">
        <v>1562</v>
      </c>
      <c r="C1148" s="123"/>
    </row>
    <row r="1149" spans="1:9" ht="20.399999999999999">
      <c r="A1149" s="122" t="s">
        <v>76</v>
      </c>
      <c r="B1149" s="290" t="s">
        <v>1381</v>
      </c>
      <c r="C1149" s="150" t="s">
        <v>383</v>
      </c>
      <c r="E1149" s="289" t="s">
        <v>2</v>
      </c>
      <c r="F1149" s="289"/>
      <c r="G1149" s="289"/>
    </row>
    <row r="1150" spans="1:9" ht="20.399999999999999">
      <c r="A1150" s="291" t="s">
        <v>30</v>
      </c>
      <c r="B1150" s="292" t="s">
        <v>19</v>
      </c>
      <c r="C1150" s="293" t="s">
        <v>81</v>
      </c>
      <c r="D1150" s="293" t="s">
        <v>77</v>
      </c>
      <c r="E1150" s="294" t="s">
        <v>82</v>
      </c>
      <c r="F1150" s="295" t="s">
        <v>83</v>
      </c>
      <c r="G1150" s="296" t="s">
        <v>84</v>
      </c>
    </row>
    <row r="1151" spans="1:9" ht="14.1" customHeight="1">
      <c r="A1151" s="309">
        <v>378</v>
      </c>
      <c r="B1151" s="297" t="s">
        <v>1382</v>
      </c>
      <c r="C1151" s="295" t="s">
        <v>104</v>
      </c>
      <c r="D1151" s="293" t="s">
        <v>383</v>
      </c>
      <c r="E1151" s="294">
        <v>9.2999999999999992E-3</v>
      </c>
      <c r="F1151" s="298">
        <f>14.68</f>
        <v>14.68</v>
      </c>
      <c r="G1151" s="296">
        <f>TRUNC(E1151*F1151,2)</f>
        <v>0.13</v>
      </c>
    </row>
    <row r="1152" spans="1:9" ht="14.1" customHeight="1">
      <c r="D1152" s="299"/>
      <c r="E1152" s="300"/>
      <c r="F1152" s="301" t="s">
        <v>90</v>
      </c>
      <c r="G1152" s="296">
        <f>G1151</f>
        <v>0.13</v>
      </c>
    </row>
    <row r="1153" spans="1:9" ht="14.1" customHeight="1">
      <c r="D1153" s="299"/>
      <c r="E1153" s="300"/>
      <c r="F1153" s="301" t="s">
        <v>92</v>
      </c>
      <c r="G1153" s="296"/>
    </row>
    <row r="1154" spans="1:9" ht="14.1" customHeight="1">
      <c r="A1154" s="302"/>
      <c r="D1154" s="299"/>
      <c r="E1154" s="300"/>
      <c r="F1154" s="301" t="s">
        <v>93</v>
      </c>
      <c r="G1154" s="303">
        <f>SUM(G1152:G1153)</f>
        <v>0.13</v>
      </c>
      <c r="H1154" s="304"/>
    </row>
    <row r="1155" spans="1:9">
      <c r="A1155" s="305"/>
      <c r="B1155" s="306"/>
      <c r="C1155" s="307"/>
      <c r="D1155" s="308"/>
      <c r="E1155" s="305"/>
      <c r="F1155" s="306"/>
      <c r="G1155" s="306"/>
      <c r="H1155" s="306"/>
      <c r="I1155" s="305"/>
    </row>
    <row r="1157" spans="1:9">
      <c r="A1157" s="122" t="s">
        <v>1194</v>
      </c>
    </row>
    <row r="1158" spans="1:9">
      <c r="A1158" s="122" t="s">
        <v>1195</v>
      </c>
      <c r="B1158" s="149" t="s">
        <v>1561</v>
      </c>
      <c r="C1158" s="123"/>
    </row>
    <row r="1159" spans="1:9" ht="20.399999999999999">
      <c r="A1159" s="122" t="s">
        <v>76</v>
      </c>
      <c r="B1159" s="290" t="s">
        <v>1383</v>
      </c>
      <c r="C1159" s="150" t="s">
        <v>1319</v>
      </c>
      <c r="E1159" s="289" t="s">
        <v>2</v>
      </c>
      <c r="F1159" s="289"/>
      <c r="G1159" s="289"/>
    </row>
    <row r="1160" spans="1:9" ht="20.399999999999999">
      <c r="A1160" s="291" t="s">
        <v>30</v>
      </c>
      <c r="B1160" s="292" t="s">
        <v>19</v>
      </c>
      <c r="C1160" s="293" t="s">
        <v>81</v>
      </c>
      <c r="D1160" s="293" t="s">
        <v>77</v>
      </c>
      <c r="E1160" s="294" t="s">
        <v>82</v>
      </c>
      <c r="F1160" s="295" t="s">
        <v>83</v>
      </c>
      <c r="G1160" s="296" t="s">
        <v>84</v>
      </c>
    </row>
    <row r="1161" spans="1:9" ht="14.1" customHeight="1">
      <c r="A1161" s="291" t="s">
        <v>1384</v>
      </c>
      <c r="B1161" s="297" t="s">
        <v>1385</v>
      </c>
      <c r="C1161" s="295" t="s">
        <v>87</v>
      </c>
      <c r="D1161" s="293" t="s">
        <v>1319</v>
      </c>
      <c r="E1161" s="311">
        <v>1.1100000000000001</v>
      </c>
      <c r="F1161" s="295">
        <v>5.0199999999999996</v>
      </c>
      <c r="G1161" s="312">
        <f t="shared" ref="G1161:G1162" si="55">TRUNC(E1161*F1161,2)</f>
        <v>5.57</v>
      </c>
    </row>
    <row r="1162" spans="1:9" ht="14.1" customHeight="1">
      <c r="A1162" s="1141" t="s">
        <v>1386</v>
      </c>
      <c r="B1162" s="1129" t="s">
        <v>1387</v>
      </c>
      <c r="C1162" s="295" t="s">
        <v>104</v>
      </c>
      <c r="D1162" s="1189" t="s">
        <v>383</v>
      </c>
      <c r="E1162" s="1153">
        <v>3.2000000000000002E-3</v>
      </c>
      <c r="F1162" s="349">
        <f>G185</f>
        <v>10.39</v>
      </c>
      <c r="G1162" s="312">
        <f t="shared" si="55"/>
        <v>0.03</v>
      </c>
    </row>
    <row r="1163" spans="1:9" ht="14.1" customHeight="1">
      <c r="A1163" s="1142"/>
      <c r="B1163" s="1130"/>
      <c r="C1163" s="295" t="s">
        <v>87</v>
      </c>
      <c r="D1163" s="1190"/>
      <c r="E1163" s="1154"/>
      <c r="F1163" s="349">
        <f>G186</f>
        <v>4.8</v>
      </c>
      <c r="G1163" s="312">
        <f>TRUNC(E1162*F1163,2)</f>
        <v>0.01</v>
      </c>
    </row>
    <row r="1164" spans="1:9" ht="14.1" customHeight="1">
      <c r="A1164" s="1141">
        <v>88245</v>
      </c>
      <c r="B1164" s="1129" t="s">
        <v>1388</v>
      </c>
      <c r="C1164" s="295" t="s">
        <v>104</v>
      </c>
      <c r="D1164" s="1189" t="s">
        <v>383</v>
      </c>
      <c r="E1164" s="1153">
        <v>2.24E-2</v>
      </c>
      <c r="F1164" s="349">
        <f>G168</f>
        <v>14.92</v>
      </c>
      <c r="G1164" s="312">
        <f t="shared" ref="G1164" si="56">TRUNC(E1164*F1164,2)</f>
        <v>0.33</v>
      </c>
    </row>
    <row r="1165" spans="1:9" ht="14.1" customHeight="1">
      <c r="A1165" s="1142"/>
      <c r="B1165" s="1130"/>
      <c r="C1165" s="295" t="s">
        <v>87</v>
      </c>
      <c r="D1165" s="1190"/>
      <c r="E1165" s="1154"/>
      <c r="F1165" s="349">
        <f>G169</f>
        <v>4.79</v>
      </c>
      <c r="G1165" s="312">
        <f>TRUNC(E1164*F1165,2)</f>
        <v>0.1</v>
      </c>
    </row>
    <row r="1166" spans="1:9" ht="14.1" customHeight="1">
      <c r="D1166" s="299"/>
      <c r="E1166" s="300"/>
      <c r="F1166" s="301" t="s">
        <v>90</v>
      </c>
      <c r="G1166" s="312">
        <f>G1162+G1164</f>
        <v>0.36</v>
      </c>
    </row>
    <row r="1167" spans="1:9" ht="14.1" customHeight="1">
      <c r="D1167" s="299"/>
      <c r="E1167" s="300"/>
      <c r="F1167" s="301" t="s">
        <v>92</v>
      </c>
      <c r="G1167" s="312">
        <f>G1161+G1163+G1165</f>
        <v>5.68</v>
      </c>
    </row>
    <row r="1168" spans="1:9" ht="14.1" customHeight="1">
      <c r="A1168" s="302"/>
      <c r="D1168" s="299"/>
      <c r="E1168" s="300"/>
      <c r="F1168" s="301" t="s">
        <v>93</v>
      </c>
      <c r="G1168" s="303">
        <f>SUM(G1166:G1167)</f>
        <v>6.04</v>
      </c>
      <c r="H1168" s="304"/>
    </row>
    <row r="1169" spans="1:9">
      <c r="A1169" s="305"/>
      <c r="B1169" s="306"/>
      <c r="C1169" s="307"/>
      <c r="D1169" s="308"/>
      <c r="E1169" s="305"/>
      <c r="F1169" s="306"/>
      <c r="G1169" s="306"/>
      <c r="H1169" s="306"/>
      <c r="I1169" s="305"/>
    </row>
    <row r="1171" spans="1:9">
      <c r="A1171" s="122" t="s">
        <v>1194</v>
      </c>
    </row>
    <row r="1172" spans="1:9">
      <c r="A1172" s="122" t="s">
        <v>1195</v>
      </c>
      <c r="B1172" s="149" t="s">
        <v>1560</v>
      </c>
      <c r="C1172" s="123"/>
    </row>
    <row r="1173" spans="1:9" ht="20.399999999999999">
      <c r="A1173" s="122" t="s">
        <v>76</v>
      </c>
      <c r="B1173" s="290" t="s">
        <v>1389</v>
      </c>
      <c r="C1173" s="150" t="s">
        <v>1319</v>
      </c>
      <c r="E1173" s="289" t="s">
        <v>2</v>
      </c>
      <c r="F1173" s="289"/>
      <c r="G1173" s="289"/>
    </row>
    <row r="1174" spans="1:9" ht="20.399999999999999">
      <c r="A1174" s="291" t="s">
        <v>30</v>
      </c>
      <c r="B1174" s="292" t="s">
        <v>19</v>
      </c>
      <c r="C1174" s="293" t="s">
        <v>81</v>
      </c>
      <c r="D1174" s="293" t="s">
        <v>77</v>
      </c>
      <c r="E1174" s="294" t="s">
        <v>82</v>
      </c>
      <c r="F1174" s="295" t="s">
        <v>83</v>
      </c>
      <c r="G1174" s="296" t="s">
        <v>84</v>
      </c>
    </row>
    <row r="1175" spans="1:9" ht="14.1" customHeight="1">
      <c r="A1175" s="309">
        <v>34</v>
      </c>
      <c r="B1175" s="297" t="s">
        <v>1390</v>
      </c>
      <c r="C1175" s="295" t="s">
        <v>87</v>
      </c>
      <c r="D1175" s="293" t="s">
        <v>1319</v>
      </c>
      <c r="E1175" s="294">
        <v>1.1100000000000001</v>
      </c>
      <c r="F1175" s="295">
        <v>4.2699999999999996</v>
      </c>
      <c r="G1175" s="312">
        <f t="shared" ref="G1175:G1178" si="57">TRUNC(E1175*F1175,2)</f>
        <v>4.7300000000000004</v>
      </c>
    </row>
    <row r="1176" spans="1:9" ht="14.1" customHeight="1">
      <c r="A1176" s="1141" t="s">
        <v>1386</v>
      </c>
      <c r="B1176" s="1129" t="s">
        <v>1387</v>
      </c>
      <c r="C1176" s="295" t="s">
        <v>104</v>
      </c>
      <c r="D1176" s="1189" t="s">
        <v>383</v>
      </c>
      <c r="E1176" s="1153">
        <v>1.8E-3</v>
      </c>
      <c r="F1176" s="349">
        <f>G185</f>
        <v>10.39</v>
      </c>
      <c r="G1176" s="312">
        <f t="shared" si="57"/>
        <v>0.01</v>
      </c>
    </row>
    <row r="1177" spans="1:9" ht="14.1" customHeight="1">
      <c r="A1177" s="1142"/>
      <c r="B1177" s="1130"/>
      <c r="C1177" s="295" t="s">
        <v>87</v>
      </c>
      <c r="D1177" s="1190"/>
      <c r="E1177" s="1154"/>
      <c r="F1177" s="349">
        <f>G186</f>
        <v>4.8</v>
      </c>
      <c r="G1177" s="312">
        <f>TRUNC(E1176*F1177,2)</f>
        <v>0</v>
      </c>
    </row>
    <row r="1178" spans="1:9" ht="14.1" customHeight="1">
      <c r="A1178" s="1141">
        <v>88245</v>
      </c>
      <c r="B1178" s="1129" t="s">
        <v>1388</v>
      </c>
      <c r="C1178" s="295" t="s">
        <v>104</v>
      </c>
      <c r="D1178" s="1189" t="s">
        <v>383</v>
      </c>
      <c r="E1178" s="1153">
        <v>1.2500000000000001E-2</v>
      </c>
      <c r="F1178" s="349">
        <f>G168</f>
        <v>14.92</v>
      </c>
      <c r="G1178" s="312">
        <f t="shared" si="57"/>
        <v>0.18</v>
      </c>
    </row>
    <row r="1179" spans="1:9" ht="14.1" customHeight="1">
      <c r="A1179" s="1142"/>
      <c r="B1179" s="1130"/>
      <c r="C1179" s="295" t="s">
        <v>87</v>
      </c>
      <c r="D1179" s="1190"/>
      <c r="E1179" s="1154"/>
      <c r="F1179" s="349">
        <f>G169</f>
        <v>4.79</v>
      </c>
      <c r="G1179" s="296">
        <f>TRUNC(E1178*F1179,2)</f>
        <v>0.05</v>
      </c>
    </row>
    <row r="1180" spans="1:9" ht="14.1" customHeight="1">
      <c r="D1180" s="299"/>
      <c r="E1180" s="300"/>
      <c r="F1180" s="301" t="s">
        <v>90</v>
      </c>
      <c r="G1180" s="312">
        <f>G1176+G1178</f>
        <v>0.19</v>
      </c>
    </row>
    <row r="1181" spans="1:9" ht="14.1" customHeight="1">
      <c r="D1181" s="299"/>
      <c r="E1181" s="300"/>
      <c r="F1181" s="301" t="s">
        <v>92</v>
      </c>
      <c r="G1181" s="312">
        <f>G1175+G1177+G1179</f>
        <v>4.78</v>
      </c>
    </row>
    <row r="1182" spans="1:9" ht="14.1" customHeight="1">
      <c r="A1182" s="302"/>
      <c r="D1182" s="299"/>
      <c r="E1182" s="300"/>
      <c r="F1182" s="301" t="s">
        <v>93</v>
      </c>
      <c r="G1182" s="303">
        <f>SUM(G1180:G1181)</f>
        <v>4.9700000000000006</v>
      </c>
      <c r="H1182" s="304"/>
    </row>
    <row r="1183" spans="1:9">
      <c r="A1183" s="305"/>
      <c r="B1183" s="306"/>
      <c r="C1183" s="307"/>
      <c r="D1183" s="308"/>
      <c r="E1183" s="305"/>
      <c r="F1183" s="306"/>
      <c r="G1183" s="306"/>
      <c r="H1183" s="306"/>
      <c r="I1183" s="305"/>
    </row>
    <row r="1185" spans="1:8">
      <c r="A1185" s="122" t="s">
        <v>1194</v>
      </c>
    </row>
    <row r="1186" spans="1:8">
      <c r="A1186" s="122" t="s">
        <v>1195</v>
      </c>
      <c r="B1186" s="149" t="s">
        <v>1773</v>
      </c>
      <c r="C1186" s="123"/>
    </row>
    <row r="1187" spans="1:8" ht="20.399999999999999">
      <c r="A1187" s="122" t="s">
        <v>76</v>
      </c>
      <c r="B1187" s="290" t="s">
        <v>1774</v>
      </c>
      <c r="C1187" s="150" t="s">
        <v>1319</v>
      </c>
      <c r="E1187" s="289" t="s">
        <v>2</v>
      </c>
      <c r="F1187" s="289"/>
      <c r="G1187" s="289"/>
    </row>
    <row r="1188" spans="1:8" ht="20.399999999999999">
      <c r="A1188" s="291" t="s">
        <v>30</v>
      </c>
      <c r="B1188" s="292" t="s">
        <v>19</v>
      </c>
      <c r="C1188" s="293" t="s">
        <v>81</v>
      </c>
      <c r="D1188" s="293" t="s">
        <v>77</v>
      </c>
      <c r="E1188" s="294" t="s">
        <v>82</v>
      </c>
      <c r="F1188" s="295" t="s">
        <v>83</v>
      </c>
      <c r="G1188" s="296" t="s">
        <v>84</v>
      </c>
    </row>
    <row r="1189" spans="1:8" ht="15" customHeight="1">
      <c r="A1189" s="309">
        <v>31</v>
      </c>
      <c r="B1189" s="297" t="s">
        <v>1775</v>
      </c>
      <c r="C1189" s="295" t="s">
        <v>87</v>
      </c>
      <c r="D1189" s="293" t="s">
        <v>1319</v>
      </c>
      <c r="E1189" s="294">
        <v>1.1100000000000001</v>
      </c>
      <c r="F1189" s="295">
        <v>4.0599999999999996</v>
      </c>
      <c r="G1189" s="312">
        <f t="shared" ref="G1189:G1190" si="58">TRUNC(E1189*F1189,2)</f>
        <v>4.5</v>
      </c>
    </row>
    <row r="1190" spans="1:8" ht="15" customHeight="1">
      <c r="A1190" s="1141" t="s">
        <v>1386</v>
      </c>
      <c r="B1190" s="1129" t="s">
        <v>1387</v>
      </c>
      <c r="C1190" s="295" t="s">
        <v>104</v>
      </c>
      <c r="D1190" s="1189" t="s">
        <v>383</v>
      </c>
      <c r="E1190" s="1153">
        <v>1E-3</v>
      </c>
      <c r="F1190" s="349">
        <f>G185</f>
        <v>10.39</v>
      </c>
      <c r="G1190" s="312">
        <f t="shared" si="58"/>
        <v>0.01</v>
      </c>
    </row>
    <row r="1191" spans="1:8" ht="15" customHeight="1">
      <c r="A1191" s="1142"/>
      <c r="B1191" s="1130"/>
      <c r="C1191" s="295" t="s">
        <v>87</v>
      </c>
      <c r="D1191" s="1190"/>
      <c r="E1191" s="1154"/>
      <c r="F1191" s="349">
        <f>G186</f>
        <v>4.8</v>
      </c>
      <c r="G1191" s="312">
        <f>TRUNC(E1190*F1191,2)</f>
        <v>0</v>
      </c>
    </row>
    <row r="1192" spans="1:8" ht="15" customHeight="1">
      <c r="A1192" s="1141">
        <v>88245</v>
      </c>
      <c r="B1192" s="1129" t="s">
        <v>1388</v>
      </c>
      <c r="C1192" s="295" t="s">
        <v>104</v>
      </c>
      <c r="D1192" s="1189" t="s">
        <v>383</v>
      </c>
      <c r="E1192" s="1153">
        <v>7.0000000000000001E-3</v>
      </c>
      <c r="F1192" s="349">
        <f>G168</f>
        <v>14.92</v>
      </c>
      <c r="G1192" s="312">
        <f t="shared" ref="G1192" si="59">TRUNC(E1192*F1192,2)</f>
        <v>0.1</v>
      </c>
    </row>
    <row r="1193" spans="1:8" ht="15" customHeight="1">
      <c r="A1193" s="1142"/>
      <c r="B1193" s="1130"/>
      <c r="C1193" s="295" t="s">
        <v>87</v>
      </c>
      <c r="D1193" s="1190"/>
      <c r="E1193" s="1154"/>
      <c r="F1193" s="349">
        <f>G169</f>
        <v>4.79</v>
      </c>
      <c r="G1193" s="296">
        <f>TRUNC(E1192*F1193,2)</f>
        <v>0.03</v>
      </c>
    </row>
    <row r="1194" spans="1:8" ht="15" customHeight="1">
      <c r="D1194" s="299"/>
      <c r="E1194" s="300"/>
      <c r="F1194" s="301" t="s">
        <v>90</v>
      </c>
      <c r="G1194" s="312">
        <f>G1190+G1192</f>
        <v>0.11</v>
      </c>
    </row>
    <row r="1195" spans="1:8" ht="15" customHeight="1">
      <c r="D1195" s="299"/>
      <c r="E1195" s="300"/>
      <c r="F1195" s="301" t="s">
        <v>92</v>
      </c>
      <c r="G1195" s="312">
        <f>G1189+G1191+G1193</f>
        <v>4.53</v>
      </c>
    </row>
    <row r="1196" spans="1:8" ht="15" customHeight="1">
      <c r="A1196" s="302"/>
      <c r="D1196" s="299"/>
      <c r="E1196" s="300"/>
      <c r="F1196" s="301" t="s">
        <v>93</v>
      </c>
      <c r="G1196" s="303">
        <f>SUM(G1194:G1195)</f>
        <v>4.6400000000000006</v>
      </c>
      <c r="H1196" s="304"/>
    </row>
    <row r="1197" spans="1:8">
      <c r="A1197" s="305"/>
      <c r="B1197" s="306"/>
      <c r="C1197" s="307"/>
      <c r="D1197" s="308"/>
      <c r="E1197" s="305"/>
      <c r="F1197" s="306"/>
      <c r="G1197" s="306"/>
      <c r="H1197" s="306"/>
    </row>
    <row r="1199" spans="1:8">
      <c r="A1199" s="122" t="s">
        <v>1194</v>
      </c>
    </row>
    <row r="1200" spans="1:8">
      <c r="A1200" s="122" t="s">
        <v>1195</v>
      </c>
      <c r="B1200" s="149" t="s">
        <v>1559</v>
      </c>
      <c r="C1200" s="123"/>
    </row>
    <row r="1201" spans="1:8" ht="20.399999999999999">
      <c r="A1201" s="122" t="s">
        <v>76</v>
      </c>
      <c r="B1201" s="290" t="s">
        <v>1563</v>
      </c>
      <c r="C1201" s="150" t="s">
        <v>1319</v>
      </c>
      <c r="E1201" s="289" t="s">
        <v>2</v>
      </c>
      <c r="F1201" s="289"/>
      <c r="G1201" s="289"/>
    </row>
    <row r="1202" spans="1:8" ht="20.399999999999999">
      <c r="A1202" s="291" t="s">
        <v>30</v>
      </c>
      <c r="B1202" s="292" t="s">
        <v>19</v>
      </c>
      <c r="C1202" s="293" t="s">
        <v>81</v>
      </c>
      <c r="D1202" s="293" t="s">
        <v>77</v>
      </c>
      <c r="E1202" s="294" t="s">
        <v>82</v>
      </c>
      <c r="F1202" s="295" t="s">
        <v>83</v>
      </c>
      <c r="G1202" s="296" t="s">
        <v>84</v>
      </c>
    </row>
    <row r="1203" spans="1:8" ht="14.1" customHeight="1">
      <c r="A1203" s="309">
        <v>39</v>
      </c>
      <c r="B1203" s="297" t="s">
        <v>1564</v>
      </c>
      <c r="C1203" s="295" t="s">
        <v>87</v>
      </c>
      <c r="D1203" s="293" t="s">
        <v>1319</v>
      </c>
      <c r="E1203" s="294">
        <v>1.07</v>
      </c>
      <c r="F1203" s="295">
        <v>4.2300000000000004</v>
      </c>
      <c r="G1203" s="312">
        <f t="shared" ref="G1203:G1204" si="60">TRUNC(E1203*F1203,2)</f>
        <v>4.5199999999999996</v>
      </c>
    </row>
    <row r="1204" spans="1:8" ht="14.1" customHeight="1">
      <c r="A1204" s="1141" t="s">
        <v>1386</v>
      </c>
      <c r="B1204" s="1129" t="s">
        <v>1387</v>
      </c>
      <c r="C1204" s="295" t="s">
        <v>104</v>
      </c>
      <c r="D1204" s="1189" t="s">
        <v>383</v>
      </c>
      <c r="E1204" s="1153">
        <v>1.0800000000000001E-2</v>
      </c>
      <c r="F1204" s="349">
        <f>G185</f>
        <v>10.39</v>
      </c>
      <c r="G1204" s="312">
        <f t="shared" si="60"/>
        <v>0.11</v>
      </c>
    </row>
    <row r="1205" spans="1:8" ht="14.1" customHeight="1">
      <c r="A1205" s="1142"/>
      <c r="B1205" s="1130"/>
      <c r="C1205" s="295" t="s">
        <v>87</v>
      </c>
      <c r="D1205" s="1190"/>
      <c r="E1205" s="1154"/>
      <c r="F1205" s="349">
        <f>G186</f>
        <v>4.8</v>
      </c>
      <c r="G1205" s="312">
        <f>TRUNC(E1204*F1205,2)</f>
        <v>0.05</v>
      </c>
    </row>
    <row r="1206" spans="1:8" ht="14.1" customHeight="1">
      <c r="A1206" s="1141">
        <v>88245</v>
      </c>
      <c r="B1206" s="1129" t="s">
        <v>1388</v>
      </c>
      <c r="C1206" s="295" t="s">
        <v>104</v>
      </c>
      <c r="D1206" s="1189" t="s">
        <v>383</v>
      </c>
      <c r="E1206" s="1153">
        <v>7.6899999999999996E-2</v>
      </c>
      <c r="F1206" s="349">
        <f>G168</f>
        <v>14.92</v>
      </c>
      <c r="G1206" s="312">
        <f t="shared" ref="G1206" si="61">TRUNC(E1206*F1206,2)</f>
        <v>1.1399999999999999</v>
      </c>
    </row>
    <row r="1207" spans="1:8" ht="14.1" customHeight="1">
      <c r="A1207" s="1142"/>
      <c r="B1207" s="1130"/>
      <c r="C1207" s="295" t="s">
        <v>87</v>
      </c>
      <c r="D1207" s="1190"/>
      <c r="E1207" s="1154"/>
      <c r="F1207" s="349">
        <f>G169</f>
        <v>4.79</v>
      </c>
      <c r="G1207" s="296">
        <f>TRUNC(E1206*F1207,2)</f>
        <v>0.36</v>
      </c>
    </row>
    <row r="1208" spans="1:8" ht="14.1" customHeight="1">
      <c r="D1208" s="299"/>
      <c r="E1208" s="300"/>
      <c r="F1208" s="301" t="s">
        <v>90</v>
      </c>
      <c r="G1208" s="312">
        <f>G1204+G1206</f>
        <v>1.25</v>
      </c>
    </row>
    <row r="1209" spans="1:8" ht="14.1" customHeight="1">
      <c r="D1209" s="299"/>
      <c r="E1209" s="300"/>
      <c r="F1209" s="301" t="s">
        <v>92</v>
      </c>
      <c r="G1209" s="312">
        <f>G1203+G1205+G1207</f>
        <v>4.93</v>
      </c>
    </row>
    <row r="1210" spans="1:8" ht="14.1" customHeight="1">
      <c r="A1210" s="302"/>
      <c r="D1210" s="299"/>
      <c r="E1210" s="300"/>
      <c r="F1210" s="301" t="s">
        <v>93</v>
      </c>
      <c r="G1210" s="303">
        <f>SUM(G1208:G1209)</f>
        <v>6.18</v>
      </c>
      <c r="H1210" s="304"/>
    </row>
    <row r="1211" spans="1:8">
      <c r="A1211" s="305"/>
      <c r="B1211" s="306"/>
      <c r="C1211" s="307"/>
      <c r="D1211" s="308"/>
      <c r="E1211" s="305"/>
      <c r="F1211" s="306"/>
      <c r="G1211" s="306"/>
      <c r="H1211" s="306"/>
    </row>
    <row r="1213" spans="1:8">
      <c r="A1213" s="826" t="s">
        <v>2709</v>
      </c>
    </row>
    <row r="1214" spans="1:8">
      <c r="A1214" s="122" t="s">
        <v>1195</v>
      </c>
      <c r="B1214" s="148" t="s">
        <v>1391</v>
      </c>
      <c r="C1214" s="123"/>
    </row>
    <row r="1215" spans="1:8" ht="39" customHeight="1">
      <c r="A1215" s="122" t="s">
        <v>76</v>
      </c>
      <c r="B1215" s="1161" t="s">
        <v>1392</v>
      </c>
      <c r="C1215" s="1161"/>
      <c r="D1215" s="1161"/>
      <c r="E1215" s="150" t="s">
        <v>1277</v>
      </c>
      <c r="F1215" s="289"/>
      <c r="G1215" s="289"/>
    </row>
    <row r="1216" spans="1:8" ht="20.399999999999999">
      <c r="A1216" s="291" t="s">
        <v>30</v>
      </c>
      <c r="B1216" s="292" t="s">
        <v>19</v>
      </c>
      <c r="C1216" s="293" t="s">
        <v>81</v>
      </c>
      <c r="D1216" s="293" t="s">
        <v>77</v>
      </c>
      <c r="E1216" s="294" t="s">
        <v>82</v>
      </c>
      <c r="F1216" s="295" t="s">
        <v>83</v>
      </c>
      <c r="G1216" s="296" t="s">
        <v>84</v>
      </c>
    </row>
    <row r="1217" spans="1:9" ht="30.6">
      <c r="A1217" s="350">
        <v>88826</v>
      </c>
      <c r="B1217" s="337" t="s">
        <v>1393</v>
      </c>
      <c r="C1217" s="338" t="s">
        <v>1260</v>
      </c>
      <c r="D1217" s="339" t="s">
        <v>383</v>
      </c>
      <c r="E1217" s="340">
        <v>1</v>
      </c>
      <c r="F1217" s="827">
        <v>0.23</v>
      </c>
      <c r="G1217" s="342">
        <f t="shared" ref="G1217:G1220" si="62">TRUNC(E1217*F1217,2)</f>
        <v>0.23</v>
      </c>
    </row>
    <row r="1218" spans="1:9" ht="30.6">
      <c r="A1218" s="350">
        <v>88827</v>
      </c>
      <c r="B1218" s="297" t="s">
        <v>1394</v>
      </c>
      <c r="C1218" s="296" t="s">
        <v>1260</v>
      </c>
      <c r="D1218" s="293" t="s">
        <v>383</v>
      </c>
      <c r="E1218" s="344">
        <v>1</v>
      </c>
      <c r="F1218" s="825">
        <v>0.02</v>
      </c>
      <c r="G1218" s="342">
        <f t="shared" si="62"/>
        <v>0.02</v>
      </c>
    </row>
    <row r="1219" spans="1:9" ht="30.6">
      <c r="A1219" s="350">
        <v>88828</v>
      </c>
      <c r="B1219" s="297" t="s">
        <v>1395</v>
      </c>
      <c r="C1219" s="294" t="s">
        <v>1260</v>
      </c>
      <c r="D1219" s="293" t="s">
        <v>383</v>
      </c>
      <c r="E1219" s="311">
        <v>1</v>
      </c>
      <c r="F1219" s="825">
        <v>0.22</v>
      </c>
      <c r="G1219" s="342">
        <f t="shared" si="62"/>
        <v>0.22</v>
      </c>
    </row>
    <row r="1220" spans="1:9" ht="30.6">
      <c r="A1220" s="343">
        <v>88829</v>
      </c>
      <c r="B1220" s="297" t="s">
        <v>1396</v>
      </c>
      <c r="C1220" s="294" t="s">
        <v>1260</v>
      </c>
      <c r="D1220" s="293" t="s">
        <v>383</v>
      </c>
      <c r="E1220" s="311">
        <v>1</v>
      </c>
      <c r="F1220" s="825">
        <v>1.01</v>
      </c>
      <c r="G1220" s="312">
        <f t="shared" si="62"/>
        <v>1.01</v>
      </c>
    </row>
    <row r="1221" spans="1:9" ht="14.1" customHeight="1">
      <c r="D1221" s="319"/>
      <c r="E1221" s="320"/>
      <c r="F1221" s="321" t="s">
        <v>90</v>
      </c>
      <c r="G1221" s="322"/>
    </row>
    <row r="1222" spans="1:9" ht="14.1" customHeight="1">
      <c r="A1222" s="302"/>
      <c r="D1222" s="299"/>
      <c r="E1222" s="300"/>
      <c r="F1222" s="301" t="s">
        <v>92</v>
      </c>
      <c r="G1222" s="312">
        <f>SUM(G1217:G1220)</f>
        <v>1.48</v>
      </c>
    </row>
    <row r="1223" spans="1:9" ht="14.1" customHeight="1">
      <c r="A1223" s="302"/>
      <c r="F1223" s="301" t="s">
        <v>93</v>
      </c>
      <c r="G1223" s="820">
        <f>SUM(G1221:G1222)</f>
        <v>1.48</v>
      </c>
      <c r="H1223" s="304"/>
    </row>
    <row r="1224" spans="1:9">
      <c r="A1224" s="305"/>
      <c r="B1224" s="306"/>
      <c r="C1224" s="307"/>
      <c r="D1224" s="308"/>
      <c r="E1224" s="305"/>
      <c r="F1224" s="306"/>
      <c r="G1224" s="306"/>
      <c r="H1224" s="306"/>
      <c r="I1224" s="305"/>
    </row>
    <row r="1226" spans="1:9">
      <c r="A1226" s="826" t="s">
        <v>2709</v>
      </c>
    </row>
    <row r="1227" spans="1:9">
      <c r="A1227" s="122" t="s">
        <v>1195</v>
      </c>
      <c r="B1227" s="836" t="s">
        <v>1406</v>
      </c>
      <c r="C1227" s="123"/>
    </row>
    <row r="1228" spans="1:9" ht="30.75" customHeight="1">
      <c r="A1228" s="122" t="s">
        <v>76</v>
      </c>
      <c r="B1228" s="1161" t="s">
        <v>2733</v>
      </c>
      <c r="C1228" s="1161"/>
      <c r="D1228" s="1161"/>
      <c r="E1228" s="150" t="s">
        <v>1277</v>
      </c>
      <c r="F1228" s="289"/>
      <c r="G1228" s="289"/>
    </row>
    <row r="1229" spans="1:9" ht="20.399999999999999">
      <c r="A1229" s="291" t="s">
        <v>30</v>
      </c>
      <c r="B1229" s="292" t="s">
        <v>19</v>
      </c>
      <c r="C1229" s="293" t="s">
        <v>81</v>
      </c>
      <c r="D1229" s="293" t="s">
        <v>77</v>
      </c>
      <c r="E1229" s="780" t="s">
        <v>82</v>
      </c>
      <c r="F1229" s="295" t="s">
        <v>83</v>
      </c>
      <c r="G1229" s="296" t="s">
        <v>84</v>
      </c>
    </row>
    <row r="1230" spans="1:9" ht="30.6">
      <c r="A1230" s="776">
        <v>88826</v>
      </c>
      <c r="B1230" s="337" t="s">
        <v>1393</v>
      </c>
      <c r="C1230" s="338" t="s">
        <v>1260</v>
      </c>
      <c r="D1230" s="795" t="s">
        <v>383</v>
      </c>
      <c r="E1230" s="797">
        <v>1</v>
      </c>
      <c r="F1230" s="827">
        <v>0.23</v>
      </c>
      <c r="G1230" s="342">
        <f t="shared" ref="G1230:G1231" si="63">TRUNC(E1230*F1230,2)</f>
        <v>0.23</v>
      </c>
    </row>
    <row r="1231" spans="1:9" ht="30.6">
      <c r="A1231" s="776">
        <v>88827</v>
      </c>
      <c r="B1231" s="791" t="s">
        <v>1394</v>
      </c>
      <c r="C1231" s="296" t="s">
        <v>1260</v>
      </c>
      <c r="D1231" s="293" t="s">
        <v>383</v>
      </c>
      <c r="E1231" s="344">
        <v>1</v>
      </c>
      <c r="F1231" s="825">
        <v>0.02</v>
      </c>
      <c r="G1231" s="342">
        <f t="shared" si="63"/>
        <v>0.02</v>
      </c>
    </row>
    <row r="1232" spans="1:9" ht="14.1" customHeight="1">
      <c r="D1232" s="319"/>
      <c r="E1232" s="320"/>
      <c r="F1232" s="321" t="s">
        <v>90</v>
      </c>
      <c r="G1232" s="322"/>
    </row>
    <row r="1233" spans="1:9" ht="14.1" customHeight="1">
      <c r="A1233" s="302"/>
      <c r="D1233" s="299"/>
      <c r="E1233" s="300"/>
      <c r="F1233" s="301" t="s">
        <v>92</v>
      </c>
      <c r="G1233" s="312">
        <f>SUM(G1230:G1231)</f>
        <v>0.25</v>
      </c>
    </row>
    <row r="1234" spans="1:9" ht="14.1" customHeight="1">
      <c r="A1234" s="302"/>
      <c r="F1234" s="301" t="s">
        <v>93</v>
      </c>
      <c r="G1234" s="820">
        <f>SUM(G1232:G1233)</f>
        <v>0.25</v>
      </c>
      <c r="H1234" s="304"/>
    </row>
    <row r="1235" spans="1:9">
      <c r="A1235" s="305"/>
      <c r="B1235" s="306"/>
      <c r="C1235" s="307"/>
      <c r="D1235" s="308"/>
      <c r="E1235" s="305"/>
      <c r="F1235" s="306"/>
      <c r="G1235" s="306"/>
      <c r="H1235" s="306"/>
    </row>
    <row r="1237" spans="1:9">
      <c r="A1237" s="122" t="s">
        <v>1194</v>
      </c>
    </row>
    <row r="1238" spans="1:9">
      <c r="A1238" s="122" t="s">
        <v>1195</v>
      </c>
      <c r="B1238" s="148" t="s">
        <v>1397</v>
      </c>
      <c r="C1238" s="123"/>
    </row>
    <row r="1239" spans="1:9" ht="36.75" customHeight="1">
      <c r="A1239" s="122" t="s">
        <v>76</v>
      </c>
      <c r="B1239" s="1161" t="s">
        <v>1393</v>
      </c>
      <c r="C1239" s="1161"/>
      <c r="D1239" s="1161"/>
      <c r="E1239" s="150" t="s">
        <v>383</v>
      </c>
      <c r="F1239" s="289"/>
      <c r="G1239" s="289"/>
    </row>
    <row r="1240" spans="1:9" ht="20.399999999999999">
      <c r="A1240" s="291" t="s">
        <v>30</v>
      </c>
      <c r="B1240" s="292" t="s">
        <v>19</v>
      </c>
      <c r="C1240" s="293" t="s">
        <v>81</v>
      </c>
      <c r="D1240" s="293" t="s">
        <v>77</v>
      </c>
      <c r="E1240" s="294" t="s">
        <v>82</v>
      </c>
      <c r="F1240" s="295" t="s">
        <v>83</v>
      </c>
      <c r="G1240" s="296" t="s">
        <v>84</v>
      </c>
    </row>
    <row r="1241" spans="1:9" ht="30.6">
      <c r="A1241" s="343">
        <v>10535</v>
      </c>
      <c r="B1241" s="345" t="s">
        <v>1398</v>
      </c>
      <c r="C1241" s="296" t="s">
        <v>1260</v>
      </c>
      <c r="D1241" s="293" t="s">
        <v>383</v>
      </c>
      <c r="E1241" s="346">
        <v>6.3999999999999997E-5</v>
      </c>
      <c r="F1241" s="315">
        <v>3451.74</v>
      </c>
      <c r="G1241" s="312">
        <f t="shared" ref="G1241" si="64">TRUNC(E1241*F1241,2)</f>
        <v>0.22</v>
      </c>
    </row>
    <row r="1242" spans="1:9" ht="14.1" customHeight="1">
      <c r="D1242" s="319"/>
      <c r="E1242" s="320"/>
      <c r="F1242" s="321" t="s">
        <v>90</v>
      </c>
      <c r="G1242" s="322">
        <v>0</v>
      </c>
    </row>
    <row r="1243" spans="1:9" ht="14.1" customHeight="1">
      <c r="A1243" s="302"/>
      <c r="D1243" s="299"/>
      <c r="E1243" s="300"/>
      <c r="F1243" s="301" t="s">
        <v>92</v>
      </c>
      <c r="G1243" s="312">
        <f>G1241</f>
        <v>0.22</v>
      </c>
    </row>
    <row r="1244" spans="1:9" ht="14.1" customHeight="1">
      <c r="A1244" s="302"/>
      <c r="F1244" s="301" t="s">
        <v>93</v>
      </c>
      <c r="G1244" s="313">
        <f>SUM(G1242:G1243)</f>
        <v>0.22</v>
      </c>
      <c r="H1244" s="304"/>
    </row>
    <row r="1245" spans="1:9">
      <c r="A1245" s="305"/>
      <c r="B1245" s="306"/>
      <c r="C1245" s="307"/>
      <c r="D1245" s="308"/>
      <c r="E1245" s="305"/>
      <c r="F1245" s="306"/>
      <c r="G1245" s="306"/>
      <c r="H1245" s="306"/>
      <c r="I1245" s="305"/>
    </row>
    <row r="1247" spans="1:9">
      <c r="A1247" s="122" t="s">
        <v>1194</v>
      </c>
    </row>
    <row r="1248" spans="1:9">
      <c r="A1248" s="122" t="s">
        <v>1195</v>
      </c>
      <c r="B1248" s="148" t="s">
        <v>1399</v>
      </c>
      <c r="C1248" s="123"/>
    </row>
    <row r="1249" spans="1:9" ht="25.5" customHeight="1">
      <c r="A1249" s="122" t="s">
        <v>76</v>
      </c>
      <c r="B1249" s="1161" t="s">
        <v>1400</v>
      </c>
      <c r="C1249" s="1161"/>
      <c r="D1249" s="1161"/>
      <c r="E1249" s="150" t="s">
        <v>383</v>
      </c>
      <c r="F1249" s="289"/>
      <c r="G1249" s="289"/>
    </row>
    <row r="1250" spans="1:9" ht="20.399999999999999">
      <c r="A1250" s="291" t="s">
        <v>30</v>
      </c>
      <c r="B1250" s="292" t="s">
        <v>19</v>
      </c>
      <c r="C1250" s="293" t="s">
        <v>81</v>
      </c>
      <c r="D1250" s="293" t="s">
        <v>77</v>
      </c>
      <c r="E1250" s="294" t="s">
        <v>82</v>
      </c>
      <c r="F1250" s="295" t="s">
        <v>83</v>
      </c>
      <c r="G1250" s="296" t="s">
        <v>84</v>
      </c>
    </row>
    <row r="1251" spans="1:9" ht="30.6">
      <c r="A1251" s="343">
        <v>10535</v>
      </c>
      <c r="B1251" s="345" t="s">
        <v>1401</v>
      </c>
      <c r="C1251" s="296" t="s">
        <v>1260</v>
      </c>
      <c r="D1251" s="293" t="s">
        <v>383</v>
      </c>
      <c r="E1251" s="351">
        <v>1.4399999999999999E-5</v>
      </c>
      <c r="F1251" s="315">
        <v>3451.74</v>
      </c>
      <c r="G1251" s="312">
        <f t="shared" ref="G1251" si="65">TRUNC(E1251*F1251,2)</f>
        <v>0.04</v>
      </c>
    </row>
    <row r="1252" spans="1:9" ht="14.1" customHeight="1">
      <c r="D1252" s="319"/>
      <c r="E1252" s="320"/>
      <c r="F1252" s="321" t="s">
        <v>90</v>
      </c>
      <c r="G1252" s="322">
        <v>0</v>
      </c>
    </row>
    <row r="1253" spans="1:9" ht="14.1" customHeight="1">
      <c r="A1253" s="302"/>
      <c r="D1253" s="299"/>
      <c r="E1253" s="300"/>
      <c r="F1253" s="301" t="s">
        <v>92</v>
      </c>
      <c r="G1253" s="312">
        <f>G1251</f>
        <v>0.04</v>
      </c>
    </row>
    <row r="1254" spans="1:9" ht="14.1" customHeight="1">
      <c r="A1254" s="302"/>
      <c r="F1254" s="301" t="s">
        <v>93</v>
      </c>
      <c r="G1254" s="313">
        <f>SUM(G1252:G1253)</f>
        <v>0.04</v>
      </c>
      <c r="H1254" s="304"/>
    </row>
    <row r="1255" spans="1:9">
      <c r="A1255" s="305"/>
      <c r="B1255" s="306"/>
      <c r="C1255" s="307"/>
      <c r="D1255" s="308"/>
      <c r="E1255" s="305"/>
      <c r="F1255" s="306"/>
      <c r="G1255" s="306"/>
      <c r="H1255" s="306"/>
      <c r="I1255" s="305"/>
    </row>
    <row r="1257" spans="1:9">
      <c r="A1257" s="122" t="s">
        <v>1194</v>
      </c>
    </row>
    <row r="1258" spans="1:9">
      <c r="A1258" s="122" t="s">
        <v>1195</v>
      </c>
      <c r="B1258" s="148" t="s">
        <v>1402</v>
      </c>
      <c r="C1258" s="123"/>
    </row>
    <row r="1259" spans="1:9" ht="33" customHeight="1">
      <c r="A1259" s="122" t="s">
        <v>76</v>
      </c>
      <c r="B1259" s="1161" t="s">
        <v>1403</v>
      </c>
      <c r="C1259" s="1161"/>
      <c r="D1259" s="1161"/>
      <c r="E1259" s="150" t="s">
        <v>383</v>
      </c>
      <c r="F1259" s="289"/>
      <c r="G1259" s="289"/>
    </row>
    <row r="1260" spans="1:9" ht="20.399999999999999">
      <c r="A1260" s="291" t="s">
        <v>30</v>
      </c>
      <c r="B1260" s="292" t="s">
        <v>19</v>
      </c>
      <c r="C1260" s="293" t="s">
        <v>81</v>
      </c>
      <c r="D1260" s="293" t="s">
        <v>77</v>
      </c>
      <c r="E1260" s="294" t="s">
        <v>82</v>
      </c>
      <c r="F1260" s="295" t="s">
        <v>83</v>
      </c>
      <c r="G1260" s="296" t="s">
        <v>84</v>
      </c>
    </row>
    <row r="1261" spans="1:9" ht="30.6">
      <c r="A1261" s="343">
        <v>10535</v>
      </c>
      <c r="B1261" s="345" t="s">
        <v>1398</v>
      </c>
      <c r="C1261" s="296" t="s">
        <v>1260</v>
      </c>
      <c r="D1261" s="293" t="s">
        <v>383</v>
      </c>
      <c r="E1261" s="346">
        <v>6.0000000000000002E-5</v>
      </c>
      <c r="F1261" s="315">
        <v>3451.74</v>
      </c>
      <c r="G1261" s="312">
        <f t="shared" ref="G1261" si="66">TRUNC(E1261*F1261,2)</f>
        <v>0.2</v>
      </c>
    </row>
    <row r="1262" spans="1:9" ht="14.1" customHeight="1">
      <c r="D1262" s="319"/>
      <c r="E1262" s="320"/>
      <c r="F1262" s="321" t="s">
        <v>90</v>
      </c>
      <c r="G1262" s="322">
        <v>0</v>
      </c>
    </row>
    <row r="1263" spans="1:9" ht="14.1" customHeight="1">
      <c r="A1263" s="302"/>
      <c r="D1263" s="299"/>
      <c r="E1263" s="300"/>
      <c r="F1263" s="301" t="s">
        <v>92</v>
      </c>
      <c r="G1263" s="312">
        <f>G1261</f>
        <v>0.2</v>
      </c>
    </row>
    <row r="1264" spans="1:9" ht="14.1" customHeight="1">
      <c r="A1264" s="302"/>
      <c r="F1264" s="301" t="s">
        <v>93</v>
      </c>
      <c r="G1264" s="313">
        <f>SUM(G1262:G1263)</f>
        <v>0.2</v>
      </c>
      <c r="H1264" s="304"/>
    </row>
    <row r="1265" spans="1:9">
      <c r="A1265" s="305"/>
      <c r="B1265" s="306"/>
      <c r="C1265" s="307"/>
      <c r="D1265" s="308"/>
      <c r="E1265" s="305"/>
      <c r="F1265" s="306"/>
      <c r="G1265" s="306"/>
      <c r="H1265" s="306"/>
      <c r="I1265" s="305"/>
    </row>
    <row r="1267" spans="1:9">
      <c r="A1267" s="122" t="s">
        <v>1194</v>
      </c>
    </row>
    <row r="1268" spans="1:9">
      <c r="A1268" s="122" t="s">
        <v>1195</v>
      </c>
      <c r="B1268" s="148" t="s">
        <v>1404</v>
      </c>
      <c r="C1268" s="123"/>
    </row>
    <row r="1269" spans="1:9" ht="22.5" customHeight="1">
      <c r="A1269" s="122" t="s">
        <v>76</v>
      </c>
      <c r="B1269" s="1161" t="s">
        <v>1405</v>
      </c>
      <c r="C1269" s="1161"/>
      <c r="D1269" s="1161"/>
      <c r="E1269" s="150" t="s">
        <v>383</v>
      </c>
      <c r="F1269" s="289"/>
      <c r="G1269" s="289"/>
    </row>
    <row r="1270" spans="1:9" ht="20.399999999999999">
      <c r="A1270" s="291" t="s">
        <v>30</v>
      </c>
      <c r="B1270" s="292" t="s">
        <v>19</v>
      </c>
      <c r="C1270" s="293" t="s">
        <v>81</v>
      </c>
      <c r="D1270" s="293" t="s">
        <v>77</v>
      </c>
      <c r="E1270" s="294" t="s">
        <v>82</v>
      </c>
      <c r="F1270" s="295" t="s">
        <v>83</v>
      </c>
      <c r="G1270" s="296" t="s">
        <v>84</v>
      </c>
    </row>
    <row r="1271" spans="1:9" ht="20.399999999999999">
      <c r="A1271" s="343" t="s">
        <v>1351</v>
      </c>
      <c r="B1271" s="345" t="s">
        <v>1352</v>
      </c>
      <c r="C1271" s="296" t="s">
        <v>87</v>
      </c>
      <c r="D1271" s="293" t="s">
        <v>1353</v>
      </c>
      <c r="E1271" s="344">
        <v>1.25</v>
      </c>
      <c r="F1271" s="315">
        <v>0.47</v>
      </c>
      <c r="G1271" s="312">
        <f t="shared" ref="G1271" si="67">TRUNC(E1271*F1271,2)</f>
        <v>0.57999999999999996</v>
      </c>
    </row>
    <row r="1272" spans="1:9" ht="14.1" customHeight="1">
      <c r="D1272" s="319"/>
      <c r="E1272" s="320"/>
      <c r="F1272" s="321" t="s">
        <v>90</v>
      </c>
      <c r="G1272" s="322">
        <v>0</v>
      </c>
    </row>
    <row r="1273" spans="1:9" ht="14.1" customHeight="1">
      <c r="A1273" s="302"/>
      <c r="D1273" s="299"/>
      <c r="E1273" s="300"/>
      <c r="F1273" s="301" t="s">
        <v>92</v>
      </c>
      <c r="G1273" s="312">
        <f>G1271</f>
        <v>0.57999999999999996</v>
      </c>
    </row>
    <row r="1274" spans="1:9" ht="14.1" customHeight="1">
      <c r="A1274" s="302"/>
      <c r="F1274" s="301" t="s">
        <v>93</v>
      </c>
      <c r="G1274" s="313">
        <f>SUM(G1272:G1273)</f>
        <v>0.57999999999999996</v>
      </c>
      <c r="H1274" s="304"/>
    </row>
    <row r="1275" spans="1:9">
      <c r="A1275" s="305"/>
      <c r="B1275" s="306"/>
      <c r="C1275" s="307"/>
      <c r="D1275" s="308"/>
      <c r="E1275" s="305"/>
      <c r="F1275" s="306"/>
      <c r="G1275" s="306"/>
      <c r="H1275" s="306"/>
      <c r="I1275" s="305"/>
    </row>
    <row r="1277" spans="1:9">
      <c r="A1277" s="122" t="s">
        <v>1194</v>
      </c>
    </row>
    <row r="1278" spans="1:9">
      <c r="A1278" s="122" t="s">
        <v>1195</v>
      </c>
      <c r="B1278" s="148" t="s">
        <v>1406</v>
      </c>
      <c r="C1278" s="123"/>
    </row>
    <row r="1279" spans="1:9" ht="33.75" customHeight="1">
      <c r="A1279" s="122" t="s">
        <v>76</v>
      </c>
      <c r="B1279" s="1161" t="s">
        <v>1407</v>
      </c>
      <c r="C1279" s="1161"/>
      <c r="D1279" s="1161"/>
      <c r="E1279" s="150" t="s">
        <v>1256</v>
      </c>
      <c r="F1279" s="289"/>
      <c r="G1279" s="289"/>
    </row>
    <row r="1280" spans="1:9" ht="20.399999999999999">
      <c r="A1280" s="291" t="s">
        <v>30</v>
      </c>
      <c r="B1280" s="292" t="s">
        <v>19</v>
      </c>
      <c r="C1280" s="293" t="s">
        <v>81</v>
      </c>
      <c r="D1280" s="293" t="s">
        <v>77</v>
      </c>
      <c r="E1280" s="294" t="s">
        <v>82</v>
      </c>
      <c r="F1280" s="295" t="s">
        <v>83</v>
      </c>
      <c r="G1280" s="296" t="s">
        <v>84</v>
      </c>
    </row>
    <row r="1281" spans="1:9" ht="30.6">
      <c r="A1281" s="350">
        <v>88826</v>
      </c>
      <c r="B1281" s="337" t="s">
        <v>1393</v>
      </c>
      <c r="C1281" s="338" t="s">
        <v>1260</v>
      </c>
      <c r="D1281" s="339" t="s">
        <v>383</v>
      </c>
      <c r="E1281" s="340">
        <v>1</v>
      </c>
      <c r="F1281" s="341">
        <f>G1244</f>
        <v>0.22</v>
      </c>
      <c r="G1281" s="342">
        <f t="shared" ref="G1281:G1282" si="68">TRUNC(E1281*F1281,2)</f>
        <v>0.22</v>
      </c>
    </row>
    <row r="1282" spans="1:9" ht="30.6">
      <c r="A1282" s="343">
        <v>88827</v>
      </c>
      <c r="B1282" s="297" t="s">
        <v>1394</v>
      </c>
      <c r="C1282" s="296" t="s">
        <v>1260</v>
      </c>
      <c r="D1282" s="293" t="s">
        <v>383</v>
      </c>
      <c r="E1282" s="344">
        <v>1</v>
      </c>
      <c r="F1282" s="298">
        <f>G1254</f>
        <v>0.04</v>
      </c>
      <c r="G1282" s="312">
        <f t="shared" si="68"/>
        <v>0.04</v>
      </c>
    </row>
    <row r="1283" spans="1:9" ht="14.1" customHeight="1">
      <c r="D1283" s="319"/>
      <c r="E1283" s="320"/>
      <c r="F1283" s="321" t="s">
        <v>90</v>
      </c>
      <c r="G1283" s="322">
        <v>0</v>
      </c>
    </row>
    <row r="1284" spans="1:9" ht="14.1" customHeight="1">
      <c r="A1284" s="302"/>
      <c r="D1284" s="299"/>
      <c r="E1284" s="300"/>
      <c r="F1284" s="301" t="s">
        <v>92</v>
      </c>
      <c r="G1284" s="312">
        <f>G1282</f>
        <v>0.04</v>
      </c>
    </row>
    <row r="1285" spans="1:9" ht="14.1" customHeight="1">
      <c r="A1285" s="302"/>
      <c r="F1285" s="301" t="s">
        <v>93</v>
      </c>
      <c r="G1285" s="313">
        <f>SUM(G1283:G1284)</f>
        <v>0.04</v>
      </c>
      <c r="H1285" s="304"/>
    </row>
    <row r="1286" spans="1:9">
      <c r="A1286" s="305"/>
      <c r="B1286" s="306"/>
      <c r="C1286" s="307"/>
      <c r="D1286" s="308"/>
      <c r="E1286" s="305"/>
      <c r="F1286" s="306"/>
      <c r="G1286" s="306"/>
      <c r="H1286" s="306"/>
      <c r="I1286" s="305"/>
    </row>
    <row r="1288" spans="1:9">
      <c r="A1288" s="122" t="s">
        <v>1194</v>
      </c>
    </row>
    <row r="1289" spans="1:9">
      <c r="A1289" s="122" t="s">
        <v>1195</v>
      </c>
      <c r="B1289" s="148" t="s">
        <v>1579</v>
      </c>
      <c r="C1289" s="123"/>
    </row>
    <row r="1290" spans="1:9" ht="28.5" customHeight="1">
      <c r="A1290" s="122" t="s">
        <v>76</v>
      </c>
      <c r="B1290" s="1161" t="s">
        <v>1580</v>
      </c>
      <c r="C1290" s="1161"/>
      <c r="D1290" s="1161"/>
      <c r="E1290" s="495" t="s">
        <v>1277</v>
      </c>
      <c r="F1290" s="289"/>
      <c r="G1290" s="289"/>
    </row>
    <row r="1291" spans="1:9" ht="20.399999999999999">
      <c r="A1291" s="291" t="s">
        <v>30</v>
      </c>
      <c r="B1291" s="292" t="s">
        <v>19</v>
      </c>
      <c r="C1291" s="293" t="s">
        <v>81</v>
      </c>
      <c r="D1291" s="293" t="s">
        <v>77</v>
      </c>
      <c r="E1291" s="294" t="s">
        <v>82</v>
      </c>
      <c r="F1291" s="295" t="s">
        <v>83</v>
      </c>
      <c r="G1291" s="296" t="s">
        <v>84</v>
      </c>
    </row>
    <row r="1292" spans="1:9" ht="30.6">
      <c r="A1292" s="336" t="s">
        <v>1581</v>
      </c>
      <c r="B1292" s="337" t="s">
        <v>1582</v>
      </c>
      <c r="C1292" s="338" t="s">
        <v>1260</v>
      </c>
      <c r="D1292" s="339" t="s">
        <v>383</v>
      </c>
      <c r="E1292" s="340">
        <v>1</v>
      </c>
      <c r="F1292" s="341">
        <f>G1308</f>
        <v>0.25</v>
      </c>
      <c r="G1292" s="342">
        <f t="shared" ref="G1292:G1295" si="69">TRUNC(E1292*F1292,2)</f>
        <v>0.25</v>
      </c>
    </row>
    <row r="1293" spans="1:9" ht="20.399999999999999">
      <c r="A1293" s="336" t="s">
        <v>1583</v>
      </c>
      <c r="B1293" s="337" t="s">
        <v>1584</v>
      </c>
      <c r="C1293" s="338" t="s">
        <v>1260</v>
      </c>
      <c r="D1293" s="339" t="s">
        <v>383</v>
      </c>
      <c r="E1293" s="340">
        <v>1</v>
      </c>
      <c r="F1293" s="341">
        <f>G1318</f>
        <v>0.05</v>
      </c>
      <c r="G1293" s="342">
        <f t="shared" si="69"/>
        <v>0.05</v>
      </c>
    </row>
    <row r="1294" spans="1:9" ht="30.6">
      <c r="A1294" s="336" t="s">
        <v>1585</v>
      </c>
      <c r="B1294" s="337" t="s">
        <v>1586</v>
      </c>
      <c r="C1294" s="338" t="s">
        <v>1260</v>
      </c>
      <c r="D1294" s="339" t="s">
        <v>383</v>
      </c>
      <c r="E1294" s="340">
        <v>1</v>
      </c>
      <c r="F1294" s="341">
        <f>G1328</f>
        <v>0.19</v>
      </c>
      <c r="G1294" s="342">
        <f t="shared" si="69"/>
        <v>0.19</v>
      </c>
    </row>
    <row r="1295" spans="1:9" ht="30.6">
      <c r="A1295" s="343" t="s">
        <v>1587</v>
      </c>
      <c r="B1295" s="297" t="s">
        <v>1588</v>
      </c>
      <c r="C1295" s="296" t="s">
        <v>1260</v>
      </c>
      <c r="D1295" s="293" t="s">
        <v>383</v>
      </c>
      <c r="E1295" s="344">
        <v>1</v>
      </c>
      <c r="F1295" s="298">
        <f>G1338</f>
        <v>0.57999999999999996</v>
      </c>
      <c r="G1295" s="342">
        <f t="shared" si="69"/>
        <v>0.57999999999999996</v>
      </c>
    </row>
    <row r="1296" spans="1:9" ht="14.1" customHeight="1">
      <c r="D1296" s="319"/>
      <c r="E1296" s="320"/>
      <c r="F1296" s="321" t="s">
        <v>90</v>
      </c>
      <c r="G1296" s="312"/>
    </row>
    <row r="1297" spans="1:9" ht="14.1" customHeight="1">
      <c r="A1297" s="302"/>
      <c r="D1297" s="299"/>
      <c r="E1297" s="300"/>
      <c r="F1297" s="301" t="s">
        <v>92</v>
      </c>
      <c r="G1297" s="312">
        <f>SUM(G1292:G1295)</f>
        <v>1.0699999999999998</v>
      </c>
    </row>
    <row r="1298" spans="1:9" ht="14.1" customHeight="1">
      <c r="A1298" s="302"/>
      <c r="F1298" s="301" t="s">
        <v>93</v>
      </c>
      <c r="G1298" s="313">
        <f>SUM(G1296:G1297)</f>
        <v>1.0699999999999998</v>
      </c>
      <c r="H1298" s="304"/>
    </row>
    <row r="1299" spans="1:9">
      <c r="A1299" s="305"/>
      <c r="B1299" s="306"/>
      <c r="C1299" s="307"/>
      <c r="D1299" s="308"/>
      <c r="E1299" s="305"/>
      <c r="F1299" s="306"/>
      <c r="G1299" s="306"/>
      <c r="H1299" s="306"/>
      <c r="I1299" s="305"/>
    </row>
    <row r="1301" spans="1:9">
      <c r="A1301" s="122" t="s">
        <v>1194</v>
      </c>
    </row>
    <row r="1302" spans="1:9">
      <c r="A1302" s="122" t="s">
        <v>1195</v>
      </c>
      <c r="B1302" s="148" t="s">
        <v>1589</v>
      </c>
      <c r="C1302" s="123"/>
    </row>
    <row r="1303" spans="1:9" ht="24" customHeight="1">
      <c r="A1303" s="122" t="s">
        <v>76</v>
      </c>
      <c r="B1303" s="1161" t="s">
        <v>1582</v>
      </c>
      <c r="C1303" s="1161"/>
      <c r="D1303" s="1161"/>
      <c r="E1303" s="495" t="s">
        <v>383</v>
      </c>
      <c r="F1303" s="289"/>
      <c r="G1303" s="289"/>
    </row>
    <row r="1304" spans="1:9" ht="20.399999999999999">
      <c r="A1304" s="291" t="s">
        <v>30</v>
      </c>
      <c r="B1304" s="292" t="s">
        <v>19</v>
      </c>
      <c r="C1304" s="293" t="s">
        <v>81</v>
      </c>
      <c r="D1304" s="293" t="s">
        <v>77</v>
      </c>
      <c r="E1304" s="294" t="s">
        <v>82</v>
      </c>
      <c r="F1304" s="295" t="s">
        <v>83</v>
      </c>
      <c r="G1304" s="296" t="s">
        <v>84</v>
      </c>
    </row>
    <row r="1305" spans="1:9" ht="20.399999999999999">
      <c r="A1305" s="309" t="s">
        <v>1590</v>
      </c>
      <c r="B1305" s="297" t="s">
        <v>1591</v>
      </c>
      <c r="C1305" s="295" t="s">
        <v>1260</v>
      </c>
      <c r="D1305" s="293" t="s">
        <v>77</v>
      </c>
      <c r="E1305" s="294">
        <v>1.2799999999999999E-4</v>
      </c>
      <c r="F1305" s="315">
        <v>1973.59</v>
      </c>
      <c r="G1305" s="296">
        <f>TRUNC(E1305*F1305,2)</f>
        <v>0.25</v>
      </c>
    </row>
    <row r="1306" spans="1:9" ht="14.1" customHeight="1">
      <c r="D1306" s="299"/>
      <c r="E1306" s="300"/>
      <c r="F1306" s="301" t="s">
        <v>90</v>
      </c>
      <c r="G1306" s="296"/>
    </row>
    <row r="1307" spans="1:9" ht="14.1" customHeight="1">
      <c r="D1307" s="299"/>
      <c r="E1307" s="300"/>
      <c r="F1307" s="301" t="s">
        <v>92</v>
      </c>
      <c r="G1307" s="296">
        <f>G1305</f>
        <v>0.25</v>
      </c>
    </row>
    <row r="1308" spans="1:9" ht="14.1" customHeight="1">
      <c r="A1308" s="302"/>
      <c r="D1308" s="299"/>
      <c r="E1308" s="300"/>
      <c r="F1308" s="301" t="s">
        <v>93</v>
      </c>
      <c r="G1308" s="303">
        <f>SUM(G1306:G1307)</f>
        <v>0.25</v>
      </c>
      <c r="H1308" s="304"/>
    </row>
    <row r="1309" spans="1:9">
      <c r="A1309" s="305"/>
      <c r="B1309" s="306"/>
      <c r="C1309" s="307"/>
      <c r="D1309" s="308"/>
      <c r="E1309" s="305"/>
      <c r="F1309" s="306"/>
      <c r="G1309" s="306"/>
      <c r="H1309" s="306"/>
      <c r="I1309" s="305"/>
    </row>
    <row r="1311" spans="1:9">
      <c r="A1311" s="122" t="s">
        <v>1194</v>
      </c>
    </row>
    <row r="1312" spans="1:9" ht="13.5" customHeight="1">
      <c r="A1312" s="122" t="s">
        <v>1195</v>
      </c>
      <c r="B1312" s="148" t="s">
        <v>1592</v>
      </c>
      <c r="C1312" s="123"/>
    </row>
    <row r="1313" spans="1:9" ht="24.75" customHeight="1">
      <c r="A1313" s="122" t="s">
        <v>76</v>
      </c>
      <c r="B1313" s="1161" t="s">
        <v>1593</v>
      </c>
      <c r="C1313" s="1161"/>
      <c r="D1313" s="1161"/>
      <c r="E1313" s="150" t="s">
        <v>383</v>
      </c>
      <c r="F1313" s="289"/>
      <c r="G1313" s="289"/>
    </row>
    <row r="1314" spans="1:9" ht="20.399999999999999">
      <c r="A1314" s="291" t="s">
        <v>30</v>
      </c>
      <c r="B1314" s="292" t="s">
        <v>19</v>
      </c>
      <c r="C1314" s="293" t="s">
        <v>81</v>
      </c>
      <c r="D1314" s="293" t="s">
        <v>77</v>
      </c>
      <c r="E1314" s="294" t="s">
        <v>82</v>
      </c>
      <c r="F1314" s="295" t="s">
        <v>83</v>
      </c>
      <c r="G1314" s="296" t="s">
        <v>84</v>
      </c>
    </row>
    <row r="1315" spans="1:9" ht="20.399999999999999">
      <c r="A1315" s="309" t="s">
        <v>1590</v>
      </c>
      <c r="B1315" s="297" t="s">
        <v>1591</v>
      </c>
      <c r="C1315" s="295" t="s">
        <v>1260</v>
      </c>
      <c r="D1315" s="293" t="s">
        <v>77</v>
      </c>
      <c r="E1315" s="294">
        <v>2.8799999999999999E-5</v>
      </c>
      <c r="F1315" s="315">
        <v>1973.59</v>
      </c>
      <c r="G1315" s="296">
        <f>TRUNC(E1315*F1315,2)</f>
        <v>0.05</v>
      </c>
    </row>
    <row r="1316" spans="1:9" ht="14.1" customHeight="1">
      <c r="D1316" s="299"/>
      <c r="E1316" s="300"/>
      <c r="F1316" s="301" t="s">
        <v>90</v>
      </c>
      <c r="G1316" s="296"/>
    </row>
    <row r="1317" spans="1:9" ht="14.1" customHeight="1">
      <c r="D1317" s="299"/>
      <c r="E1317" s="300"/>
      <c r="F1317" s="301" t="s">
        <v>92</v>
      </c>
      <c r="G1317" s="296">
        <f>G1315</f>
        <v>0.05</v>
      </c>
    </row>
    <row r="1318" spans="1:9" ht="14.1" customHeight="1">
      <c r="A1318" s="302"/>
      <c r="D1318" s="299"/>
      <c r="E1318" s="300"/>
      <c r="F1318" s="301" t="s">
        <v>93</v>
      </c>
      <c r="G1318" s="303">
        <f>SUM(G1316:G1317)</f>
        <v>0.05</v>
      </c>
      <c r="H1318" s="304"/>
    </row>
    <row r="1319" spans="1:9">
      <c r="A1319" s="305"/>
      <c r="B1319" s="306"/>
      <c r="C1319" s="307"/>
      <c r="D1319" s="308"/>
      <c r="E1319" s="305"/>
      <c r="F1319" s="306"/>
      <c r="G1319" s="306"/>
      <c r="H1319" s="306"/>
      <c r="I1319" s="305"/>
    </row>
    <row r="1321" spans="1:9">
      <c r="A1321" s="122" t="s">
        <v>1194</v>
      </c>
    </row>
    <row r="1322" spans="1:9" ht="12" customHeight="1">
      <c r="A1322" s="122" t="s">
        <v>1195</v>
      </c>
      <c r="B1322" s="148" t="s">
        <v>1594</v>
      </c>
      <c r="C1322" s="123"/>
    </row>
    <row r="1323" spans="1:9" ht="25.5" customHeight="1">
      <c r="A1323" s="122" t="s">
        <v>76</v>
      </c>
      <c r="B1323" s="1161" t="s">
        <v>1586</v>
      </c>
      <c r="C1323" s="1161"/>
      <c r="D1323" s="1161"/>
      <c r="E1323" s="150" t="s">
        <v>383</v>
      </c>
      <c r="F1323" s="289"/>
      <c r="G1323" s="289"/>
    </row>
    <row r="1324" spans="1:9" ht="20.399999999999999">
      <c r="A1324" s="291" t="s">
        <v>30</v>
      </c>
      <c r="B1324" s="292" t="s">
        <v>19</v>
      </c>
      <c r="C1324" s="293" t="s">
        <v>81</v>
      </c>
      <c r="D1324" s="293" t="s">
        <v>77</v>
      </c>
      <c r="E1324" s="294" t="s">
        <v>82</v>
      </c>
      <c r="F1324" s="295" t="s">
        <v>83</v>
      </c>
      <c r="G1324" s="296" t="s">
        <v>84</v>
      </c>
    </row>
    <row r="1325" spans="1:9" ht="20.399999999999999">
      <c r="A1325" s="309" t="s">
        <v>1590</v>
      </c>
      <c r="B1325" s="297" t="s">
        <v>1591</v>
      </c>
      <c r="C1325" s="295" t="s">
        <v>1260</v>
      </c>
      <c r="D1325" s="293" t="s">
        <v>77</v>
      </c>
      <c r="E1325" s="294">
        <v>1E-4</v>
      </c>
      <c r="F1325" s="315">
        <v>1973.59</v>
      </c>
      <c r="G1325" s="296">
        <f>TRUNC(E1325*F1325,2)</f>
        <v>0.19</v>
      </c>
    </row>
    <row r="1326" spans="1:9" ht="14.1" customHeight="1">
      <c r="D1326" s="299"/>
      <c r="E1326" s="300"/>
      <c r="F1326" s="301" t="s">
        <v>90</v>
      </c>
      <c r="G1326" s="296"/>
    </row>
    <row r="1327" spans="1:9" ht="14.1" customHeight="1">
      <c r="D1327" s="299"/>
      <c r="E1327" s="300"/>
      <c r="F1327" s="301" t="s">
        <v>92</v>
      </c>
      <c r="G1327" s="296">
        <f>G1325</f>
        <v>0.19</v>
      </c>
    </row>
    <row r="1328" spans="1:9" ht="14.1" customHeight="1">
      <c r="A1328" s="302"/>
      <c r="D1328" s="299"/>
      <c r="E1328" s="300"/>
      <c r="F1328" s="301" t="s">
        <v>93</v>
      </c>
      <c r="G1328" s="303">
        <f>SUM(G1326:G1327)</f>
        <v>0.19</v>
      </c>
      <c r="H1328" s="304"/>
    </row>
    <row r="1329" spans="1:9">
      <c r="A1329" s="305"/>
      <c r="B1329" s="306"/>
      <c r="C1329" s="307"/>
      <c r="D1329" s="308"/>
      <c r="E1329" s="305"/>
      <c r="F1329" s="306"/>
      <c r="G1329" s="306"/>
      <c r="H1329" s="306"/>
      <c r="I1329" s="305"/>
    </row>
    <row r="1331" spans="1:9">
      <c r="A1331" s="122" t="s">
        <v>1194</v>
      </c>
    </row>
    <row r="1332" spans="1:9" ht="14.25" customHeight="1">
      <c r="A1332" s="122" t="s">
        <v>1195</v>
      </c>
      <c r="B1332" s="148" t="s">
        <v>1595</v>
      </c>
      <c r="C1332" s="123"/>
    </row>
    <row r="1333" spans="1:9" ht="24.75" customHeight="1">
      <c r="A1333" s="122" t="s">
        <v>76</v>
      </c>
      <c r="B1333" s="1161" t="s">
        <v>1588</v>
      </c>
      <c r="C1333" s="1161"/>
      <c r="D1333" s="1161"/>
      <c r="E1333" s="150" t="s">
        <v>383</v>
      </c>
      <c r="F1333" s="289"/>
      <c r="G1333" s="289"/>
    </row>
    <row r="1334" spans="1:9" ht="20.399999999999999">
      <c r="A1334" s="291" t="s">
        <v>30</v>
      </c>
      <c r="B1334" s="292" t="s">
        <v>19</v>
      </c>
      <c r="C1334" s="293" t="s">
        <v>81</v>
      </c>
      <c r="D1334" s="293" t="s">
        <v>77</v>
      </c>
      <c r="E1334" s="294" t="s">
        <v>82</v>
      </c>
      <c r="F1334" s="295" t="s">
        <v>83</v>
      </c>
      <c r="G1334" s="296" t="s">
        <v>84</v>
      </c>
    </row>
    <row r="1335" spans="1:9" ht="20.399999999999999">
      <c r="A1335" s="309" t="s">
        <v>1351</v>
      </c>
      <c r="B1335" s="297" t="s">
        <v>1352</v>
      </c>
      <c r="C1335" s="295" t="s">
        <v>87</v>
      </c>
      <c r="D1335" s="293" t="s">
        <v>1353</v>
      </c>
      <c r="E1335" s="294">
        <v>1.25</v>
      </c>
      <c r="F1335" s="315">
        <v>0.47</v>
      </c>
      <c r="G1335" s="296">
        <f>TRUNC(E1335*F1335,2)</f>
        <v>0.57999999999999996</v>
      </c>
    </row>
    <row r="1336" spans="1:9" ht="14.1" customHeight="1">
      <c r="D1336" s="299"/>
      <c r="E1336" s="300"/>
      <c r="F1336" s="301" t="s">
        <v>90</v>
      </c>
      <c r="G1336" s="296"/>
    </row>
    <row r="1337" spans="1:9" ht="14.1" customHeight="1">
      <c r="D1337" s="299"/>
      <c r="E1337" s="300"/>
      <c r="F1337" s="301" t="s">
        <v>92</v>
      </c>
      <c r="G1337" s="296">
        <f>G1335</f>
        <v>0.57999999999999996</v>
      </c>
    </row>
    <row r="1338" spans="1:9" ht="14.1" customHeight="1">
      <c r="A1338" s="302"/>
      <c r="D1338" s="299"/>
      <c r="E1338" s="300"/>
      <c r="F1338" s="301" t="s">
        <v>93</v>
      </c>
      <c r="G1338" s="303">
        <f>SUM(G1336:G1337)</f>
        <v>0.57999999999999996</v>
      </c>
      <c r="H1338" s="304"/>
    </row>
    <row r="1339" spans="1:9">
      <c r="A1339" s="305"/>
      <c r="B1339" s="306"/>
      <c r="C1339" s="307"/>
      <c r="D1339" s="308"/>
      <c r="E1339" s="305"/>
      <c r="F1339" s="306"/>
      <c r="G1339" s="306"/>
      <c r="H1339" s="306"/>
      <c r="I1339" s="305"/>
    </row>
    <row r="1341" spans="1:9">
      <c r="A1341" s="122" t="s">
        <v>1194</v>
      </c>
    </row>
    <row r="1342" spans="1:9">
      <c r="A1342" s="122" t="s">
        <v>1195</v>
      </c>
      <c r="B1342" s="148" t="s">
        <v>1707</v>
      </c>
      <c r="C1342" s="123"/>
    </row>
    <row r="1343" spans="1:9" ht="29.25" customHeight="1">
      <c r="A1343" s="122" t="s">
        <v>76</v>
      </c>
      <c r="B1343" s="1161" t="s">
        <v>1700</v>
      </c>
      <c r="C1343" s="1161"/>
      <c r="D1343" s="318" t="s">
        <v>1277</v>
      </c>
      <c r="F1343" s="289"/>
      <c r="G1343" s="289"/>
    </row>
    <row r="1344" spans="1:9" ht="20.399999999999999">
      <c r="A1344" s="291" t="s">
        <v>30</v>
      </c>
      <c r="B1344" s="292" t="s">
        <v>19</v>
      </c>
      <c r="C1344" s="293" t="s">
        <v>81</v>
      </c>
      <c r="D1344" s="293" t="s">
        <v>77</v>
      </c>
      <c r="E1344" s="294" t="s">
        <v>82</v>
      </c>
      <c r="F1344" s="295" t="s">
        <v>83</v>
      </c>
      <c r="G1344" s="296" t="s">
        <v>84</v>
      </c>
    </row>
    <row r="1345" spans="1:8" ht="20.399999999999999">
      <c r="A1345" s="336" t="s">
        <v>1708</v>
      </c>
      <c r="B1345" s="337" t="s">
        <v>1709</v>
      </c>
      <c r="C1345" s="338" t="s">
        <v>87</v>
      </c>
      <c r="D1345" s="339" t="s">
        <v>1319</v>
      </c>
      <c r="E1345" s="340">
        <v>0.8</v>
      </c>
      <c r="F1345" s="827">
        <v>11.62</v>
      </c>
      <c r="G1345" s="342">
        <f t="shared" ref="G1345" si="70">TRUNC(E1345*F1345,2)</f>
        <v>9.2899999999999991</v>
      </c>
    </row>
    <row r="1346" spans="1:8" ht="18" customHeight="1">
      <c r="A1346" s="1159">
        <v>83765</v>
      </c>
      <c r="B1346" s="1129" t="s">
        <v>1714</v>
      </c>
      <c r="C1346" s="338" t="s">
        <v>104</v>
      </c>
      <c r="D1346" s="1189" t="s">
        <v>1277</v>
      </c>
      <c r="E1346" s="1285">
        <v>0.5</v>
      </c>
      <c r="F1346" s="827">
        <v>19.71</v>
      </c>
      <c r="G1346" s="342">
        <f>TRUNC(E1346*F1346,2)</f>
        <v>9.85</v>
      </c>
    </row>
    <row r="1347" spans="1:8" ht="18" customHeight="1">
      <c r="A1347" s="1160"/>
      <c r="B1347" s="1130"/>
      <c r="C1347" s="338" t="s">
        <v>87</v>
      </c>
      <c r="D1347" s="1190"/>
      <c r="E1347" s="1286"/>
      <c r="F1347" s="827">
        <v>49.77</v>
      </c>
      <c r="G1347" s="342">
        <f>TRUNC(E1346*F1347,2)</f>
        <v>24.88</v>
      </c>
    </row>
    <row r="1348" spans="1:8" ht="18" customHeight="1">
      <c r="A1348" s="1159" t="s">
        <v>1711</v>
      </c>
      <c r="B1348" s="1129" t="s">
        <v>1715</v>
      </c>
      <c r="C1348" s="338" t="s">
        <v>104</v>
      </c>
      <c r="D1348" s="1189" t="s">
        <v>1256</v>
      </c>
      <c r="E1348" s="1285">
        <v>1</v>
      </c>
      <c r="F1348" s="827">
        <f>G1380</f>
        <v>14.62</v>
      </c>
      <c r="G1348" s="342">
        <f>TRUNC(E1348*F1348,2)</f>
        <v>14.62</v>
      </c>
    </row>
    <row r="1349" spans="1:8" ht="18" customHeight="1">
      <c r="A1349" s="1160"/>
      <c r="B1349" s="1178"/>
      <c r="C1349" s="338" t="s">
        <v>87</v>
      </c>
      <c r="D1349" s="1190"/>
      <c r="E1349" s="1286"/>
      <c r="F1349" s="827">
        <f>G1381</f>
        <v>15.26</v>
      </c>
      <c r="G1349" s="342">
        <f>TRUNC(E1348*F1349,2)</f>
        <v>15.26</v>
      </c>
    </row>
    <row r="1350" spans="1:8" ht="18" customHeight="1">
      <c r="A1350" s="1159" t="s">
        <v>1712</v>
      </c>
      <c r="B1350" s="1129" t="s">
        <v>1713</v>
      </c>
      <c r="C1350" s="338" t="s">
        <v>104</v>
      </c>
      <c r="D1350" s="1283" t="s">
        <v>383</v>
      </c>
      <c r="E1350" s="1285">
        <v>3</v>
      </c>
      <c r="F1350" s="827">
        <f>G980</f>
        <v>14.620000000000001</v>
      </c>
      <c r="G1350" s="342">
        <f>TRUNC(E1350*F1350,2)</f>
        <v>43.86</v>
      </c>
    </row>
    <row r="1351" spans="1:8" ht="18" customHeight="1">
      <c r="A1351" s="1160"/>
      <c r="B1351" s="1130"/>
      <c r="C1351" s="296" t="s">
        <v>87</v>
      </c>
      <c r="D1351" s="1209"/>
      <c r="E1351" s="1209"/>
      <c r="F1351" s="825">
        <f>G981</f>
        <v>4.8499999999999996</v>
      </c>
      <c r="G1351" s="342">
        <f>TRUNC(E1350*F1351,2)</f>
        <v>14.55</v>
      </c>
    </row>
    <row r="1352" spans="1:8" ht="14.1" customHeight="1">
      <c r="D1352" s="319"/>
      <c r="E1352" s="320"/>
      <c r="F1352" s="321" t="s">
        <v>90</v>
      </c>
      <c r="G1352" s="312">
        <f>G1346+G1348+G1350</f>
        <v>68.33</v>
      </c>
    </row>
    <row r="1353" spans="1:8" ht="14.1" customHeight="1">
      <c r="A1353" s="302"/>
      <c r="D1353" s="299"/>
      <c r="E1353" s="300"/>
      <c r="F1353" s="301" t="s">
        <v>92</v>
      </c>
      <c r="G1353" s="312">
        <f>G1345+G1347+G1349+G1351</f>
        <v>63.980000000000004</v>
      </c>
    </row>
    <row r="1354" spans="1:8" ht="14.1" customHeight="1">
      <c r="A1354" s="302"/>
      <c r="F1354" s="301" t="s">
        <v>93</v>
      </c>
      <c r="G1354" s="820">
        <f>SUM(G1352:G1353)</f>
        <v>132.31</v>
      </c>
      <c r="H1354" s="304"/>
    </row>
    <row r="1355" spans="1:8">
      <c r="A1355" s="305"/>
      <c r="B1355" s="306"/>
      <c r="C1355" s="307"/>
      <c r="D1355" s="308"/>
      <c r="E1355" s="305"/>
      <c r="F1355" s="306"/>
      <c r="G1355" s="306"/>
      <c r="H1355" s="306"/>
    </row>
    <row r="1357" spans="1:8">
      <c r="A1357" s="826" t="s">
        <v>2709</v>
      </c>
    </row>
    <row r="1358" spans="1:8">
      <c r="A1358" s="122" t="s">
        <v>1195</v>
      </c>
      <c r="B1358" s="148" t="s">
        <v>1716</v>
      </c>
      <c r="C1358" s="123"/>
    </row>
    <row r="1359" spans="1:8" ht="30" customHeight="1">
      <c r="A1359" s="122" t="s">
        <v>76</v>
      </c>
      <c r="B1359" s="1161" t="s">
        <v>1717</v>
      </c>
      <c r="C1359" s="1161"/>
      <c r="D1359" s="1161"/>
      <c r="E1359" s="318" t="s">
        <v>1277</v>
      </c>
      <c r="F1359" s="289"/>
      <c r="G1359" s="289"/>
    </row>
    <row r="1360" spans="1:8" ht="20.399999999999999">
      <c r="A1360" s="291" t="s">
        <v>30</v>
      </c>
      <c r="B1360" s="292" t="s">
        <v>19</v>
      </c>
      <c r="C1360" s="293" t="s">
        <v>81</v>
      </c>
      <c r="D1360" s="293" t="s">
        <v>77</v>
      </c>
      <c r="E1360" s="294" t="s">
        <v>82</v>
      </c>
      <c r="F1360" s="295" t="s">
        <v>83</v>
      </c>
      <c r="G1360" s="296" t="s">
        <v>84</v>
      </c>
    </row>
    <row r="1361" spans="1:8" ht="15.9" customHeight="1">
      <c r="A1361" s="1159">
        <v>88317</v>
      </c>
      <c r="B1361" s="1129" t="s">
        <v>1713</v>
      </c>
      <c r="C1361" s="293" t="s">
        <v>104</v>
      </c>
      <c r="D1361" s="1189" t="s">
        <v>383</v>
      </c>
      <c r="E1361" s="1285">
        <v>1</v>
      </c>
      <c r="F1361" s="837">
        <f>G980</f>
        <v>14.620000000000001</v>
      </c>
      <c r="G1361" s="342">
        <f>TRUNC(E1361*F1361,2)</f>
        <v>14.62</v>
      </c>
    </row>
    <row r="1362" spans="1:8" ht="15.9" customHeight="1">
      <c r="A1362" s="1164"/>
      <c r="B1362" s="1130"/>
      <c r="C1362" s="294" t="s">
        <v>87</v>
      </c>
      <c r="D1362" s="1190"/>
      <c r="E1362" s="1286"/>
      <c r="F1362" s="837">
        <f>G981</f>
        <v>4.8499999999999996</v>
      </c>
      <c r="G1362" s="342">
        <f>TRUNC(E1361*F1362,2)</f>
        <v>4.8499999999999996</v>
      </c>
    </row>
    <row r="1363" spans="1:8" ht="30.6">
      <c r="A1363" s="343" t="s">
        <v>1718</v>
      </c>
      <c r="B1363" s="297" t="s">
        <v>1722</v>
      </c>
      <c r="C1363" s="294" t="s">
        <v>1260</v>
      </c>
      <c r="D1363" s="293" t="s">
        <v>383</v>
      </c>
      <c r="E1363" s="344">
        <v>1</v>
      </c>
      <c r="F1363" s="825">
        <v>7.17</v>
      </c>
      <c r="G1363" s="312">
        <f t="shared" ref="G1363:G1366" si="71">TRUNC(E1363*F1363,2)</f>
        <v>7.17</v>
      </c>
    </row>
    <row r="1364" spans="1:8" ht="30.6">
      <c r="A1364" s="343" t="s">
        <v>1719</v>
      </c>
      <c r="B1364" s="297" t="s">
        <v>1723</v>
      </c>
      <c r="C1364" s="294" t="s">
        <v>1260</v>
      </c>
      <c r="D1364" s="293" t="s">
        <v>383</v>
      </c>
      <c r="E1364" s="344">
        <v>1</v>
      </c>
      <c r="F1364" s="825">
        <v>8.9600000000000009</v>
      </c>
      <c r="G1364" s="312">
        <f t="shared" si="71"/>
        <v>8.9600000000000009</v>
      </c>
    </row>
    <row r="1365" spans="1:8" ht="30.6">
      <c r="A1365" s="343" t="s">
        <v>1720</v>
      </c>
      <c r="B1365" s="297" t="s">
        <v>1724</v>
      </c>
      <c r="C1365" s="294" t="s">
        <v>1260</v>
      </c>
      <c r="D1365" s="293" t="s">
        <v>383</v>
      </c>
      <c r="E1365" s="344">
        <v>1</v>
      </c>
      <c r="F1365" s="825">
        <v>32.03</v>
      </c>
      <c r="G1365" s="312">
        <f t="shared" si="71"/>
        <v>32.03</v>
      </c>
    </row>
    <row r="1366" spans="1:8" ht="30.6">
      <c r="A1366" s="343" t="s">
        <v>1721</v>
      </c>
      <c r="B1366" s="297" t="s">
        <v>1725</v>
      </c>
      <c r="C1366" s="294" t="s">
        <v>1260</v>
      </c>
      <c r="D1366" s="293" t="s">
        <v>383</v>
      </c>
      <c r="E1366" s="344">
        <v>1</v>
      </c>
      <c r="F1366" s="825">
        <v>1.61</v>
      </c>
      <c r="G1366" s="312">
        <f t="shared" si="71"/>
        <v>1.61</v>
      </c>
    </row>
    <row r="1367" spans="1:8" ht="15" customHeight="1">
      <c r="D1367" s="319"/>
      <c r="E1367" s="320"/>
      <c r="F1367" s="321" t="s">
        <v>90</v>
      </c>
      <c r="G1367" s="322">
        <f>G1361</f>
        <v>14.62</v>
      </c>
    </row>
    <row r="1368" spans="1:8" ht="15" customHeight="1">
      <c r="A1368" s="302"/>
      <c r="D1368" s="299"/>
      <c r="E1368" s="300"/>
      <c r="F1368" s="301" t="s">
        <v>92</v>
      </c>
      <c r="G1368" s="312">
        <f>G1362+G1363+G1364+G1365+G1366</f>
        <v>54.620000000000005</v>
      </c>
    </row>
    <row r="1369" spans="1:8" ht="15" customHeight="1">
      <c r="A1369" s="302"/>
      <c r="F1369" s="301" t="s">
        <v>93</v>
      </c>
      <c r="G1369" s="820">
        <f>SUM(G1367:G1368)</f>
        <v>69.240000000000009</v>
      </c>
      <c r="H1369" s="304"/>
    </row>
    <row r="1370" spans="1:8">
      <c r="A1370" s="305"/>
      <c r="B1370" s="306"/>
      <c r="C1370" s="307"/>
      <c r="D1370" s="308"/>
      <c r="E1370" s="305"/>
      <c r="F1370" s="306"/>
      <c r="G1370" s="306"/>
      <c r="H1370" s="306"/>
    </row>
    <row r="1372" spans="1:8">
      <c r="A1372" s="826" t="s">
        <v>2709</v>
      </c>
    </row>
    <row r="1373" spans="1:8">
      <c r="A1373" s="122" t="s">
        <v>1195</v>
      </c>
      <c r="B1373" s="836" t="s">
        <v>1726</v>
      </c>
      <c r="C1373" s="123"/>
    </row>
    <row r="1374" spans="1:8" ht="27.75" customHeight="1">
      <c r="A1374" s="122" t="s">
        <v>76</v>
      </c>
      <c r="B1374" s="1161" t="s">
        <v>1715</v>
      </c>
      <c r="C1374" s="1161"/>
      <c r="D1374" s="1161"/>
      <c r="E1374" s="318" t="s">
        <v>1277</v>
      </c>
      <c r="F1374" s="289"/>
      <c r="G1374" s="289"/>
    </row>
    <row r="1375" spans="1:8" ht="20.399999999999999">
      <c r="A1375" s="291" t="s">
        <v>30</v>
      </c>
      <c r="B1375" s="297" t="s">
        <v>19</v>
      </c>
      <c r="C1375" s="293" t="s">
        <v>81</v>
      </c>
      <c r="D1375" s="293" t="s">
        <v>77</v>
      </c>
      <c r="E1375" s="294" t="s">
        <v>82</v>
      </c>
      <c r="F1375" s="295" t="s">
        <v>83</v>
      </c>
      <c r="G1375" s="296" t="s">
        <v>84</v>
      </c>
    </row>
    <row r="1376" spans="1:8" ht="15" customHeight="1">
      <c r="A1376" s="1159">
        <v>88317</v>
      </c>
      <c r="B1376" s="1129" t="s">
        <v>1713</v>
      </c>
      <c r="C1376" s="293" t="s">
        <v>104</v>
      </c>
      <c r="D1376" s="1189" t="s">
        <v>383</v>
      </c>
      <c r="E1376" s="1285">
        <v>1</v>
      </c>
      <c r="F1376" s="837">
        <f>G980</f>
        <v>14.620000000000001</v>
      </c>
      <c r="G1376" s="342">
        <f>TRUNC(E1376*F1376,2)</f>
        <v>14.62</v>
      </c>
    </row>
    <row r="1377" spans="1:8" ht="15" customHeight="1">
      <c r="A1377" s="1164"/>
      <c r="B1377" s="1130"/>
      <c r="C1377" s="294" t="s">
        <v>87</v>
      </c>
      <c r="D1377" s="1190"/>
      <c r="E1377" s="1286"/>
      <c r="F1377" s="837">
        <f>G981</f>
        <v>4.8499999999999996</v>
      </c>
      <c r="G1377" s="342">
        <f>TRUNC(E1376*F1377,2)</f>
        <v>4.8499999999999996</v>
      </c>
    </row>
    <row r="1378" spans="1:8" ht="30.6">
      <c r="A1378" s="343" t="s">
        <v>1718</v>
      </c>
      <c r="B1378" s="297" t="s">
        <v>1722</v>
      </c>
      <c r="C1378" s="294" t="s">
        <v>1260</v>
      </c>
      <c r="D1378" s="293" t="s">
        <v>383</v>
      </c>
      <c r="E1378" s="344">
        <v>146282.53</v>
      </c>
      <c r="F1378" s="848">
        <v>6.3999999999999997E-5</v>
      </c>
      <c r="G1378" s="312">
        <f t="shared" ref="G1378:G1379" si="72">TRUNC(E1378*F1378,2)</f>
        <v>9.36</v>
      </c>
    </row>
    <row r="1379" spans="1:8" ht="30.6">
      <c r="A1379" s="343">
        <v>83764</v>
      </c>
      <c r="B1379" s="297" t="s">
        <v>1725</v>
      </c>
      <c r="C1379" s="294" t="s">
        <v>1260</v>
      </c>
      <c r="D1379" s="293" t="s">
        <v>383</v>
      </c>
      <c r="E1379" s="344">
        <v>146282.53</v>
      </c>
      <c r="F1379" s="848">
        <v>7.1999999999999997E-6</v>
      </c>
      <c r="G1379" s="312">
        <f t="shared" si="72"/>
        <v>1.05</v>
      </c>
    </row>
    <row r="1380" spans="1:8" ht="15" customHeight="1">
      <c r="D1380" s="319"/>
      <c r="E1380" s="320"/>
      <c r="F1380" s="321" t="s">
        <v>90</v>
      </c>
      <c r="G1380" s="322">
        <f>G1376</f>
        <v>14.62</v>
      </c>
    </row>
    <row r="1381" spans="1:8" ht="15" customHeight="1">
      <c r="A1381" s="302"/>
      <c r="D1381" s="299"/>
      <c r="E1381" s="300"/>
      <c r="F1381" s="301" t="s">
        <v>92</v>
      </c>
      <c r="G1381" s="312">
        <f>G1377+G1378+G1379</f>
        <v>15.26</v>
      </c>
    </row>
    <row r="1382" spans="1:8" ht="15" customHeight="1">
      <c r="A1382" s="302"/>
      <c r="F1382" s="301" t="s">
        <v>93</v>
      </c>
      <c r="G1382" s="820">
        <f>SUM(G1380:G1381)</f>
        <v>29.88</v>
      </c>
      <c r="H1382" s="304"/>
    </row>
    <row r="1383" spans="1:8">
      <c r="A1383" s="305"/>
      <c r="B1383" s="306"/>
      <c r="C1383" s="307"/>
      <c r="D1383" s="308"/>
      <c r="E1383" s="305"/>
      <c r="F1383" s="306"/>
      <c r="G1383" s="306"/>
      <c r="H1383" s="306"/>
    </row>
    <row r="1385" spans="1:8" ht="13.5" customHeight="1">
      <c r="A1385" s="826" t="s">
        <v>2709</v>
      </c>
    </row>
    <row r="1386" spans="1:8" ht="13.5" customHeight="1">
      <c r="A1386" s="122" t="s">
        <v>1195</v>
      </c>
      <c r="B1386" s="148" t="s">
        <v>1731</v>
      </c>
      <c r="C1386" s="123"/>
    </row>
    <row r="1387" spans="1:8" ht="25.5" customHeight="1">
      <c r="A1387" s="122" t="s">
        <v>76</v>
      </c>
      <c r="B1387" s="1161" t="s">
        <v>1722</v>
      </c>
      <c r="C1387" s="1161"/>
      <c r="D1387" s="1161"/>
      <c r="E1387" s="495" t="s">
        <v>383</v>
      </c>
      <c r="F1387" s="289"/>
      <c r="G1387" s="289"/>
    </row>
    <row r="1388" spans="1:8" ht="20.399999999999999">
      <c r="A1388" s="291" t="s">
        <v>30</v>
      </c>
      <c r="B1388" s="292" t="s">
        <v>19</v>
      </c>
      <c r="C1388" s="293" t="s">
        <v>81</v>
      </c>
      <c r="D1388" s="293" t="s">
        <v>77</v>
      </c>
      <c r="E1388" s="294" t="s">
        <v>82</v>
      </c>
      <c r="F1388" s="295" t="s">
        <v>83</v>
      </c>
      <c r="G1388" s="296" t="s">
        <v>84</v>
      </c>
    </row>
    <row r="1389" spans="1:8" ht="30.6">
      <c r="A1389" s="309" t="s">
        <v>1732</v>
      </c>
      <c r="B1389" s="297" t="s">
        <v>1733</v>
      </c>
      <c r="C1389" s="295" t="s">
        <v>1260</v>
      </c>
      <c r="D1389" s="293" t="s">
        <v>77</v>
      </c>
      <c r="E1389" s="294">
        <v>6.3999999999999997E-5</v>
      </c>
      <c r="F1389" s="823">
        <v>146282.53</v>
      </c>
      <c r="G1389" s="296">
        <f>TRUNC(E1389*F1389,2)</f>
        <v>9.36</v>
      </c>
    </row>
    <row r="1390" spans="1:8" ht="15" customHeight="1">
      <c r="D1390" s="299"/>
      <c r="E1390" s="300"/>
      <c r="F1390" s="301" t="s">
        <v>90</v>
      </c>
      <c r="G1390" s="296"/>
    </row>
    <row r="1391" spans="1:8" ht="15" customHeight="1">
      <c r="D1391" s="299"/>
      <c r="E1391" s="300"/>
      <c r="F1391" s="301" t="s">
        <v>92</v>
      </c>
      <c r="G1391" s="296">
        <f>G1389</f>
        <v>9.36</v>
      </c>
    </row>
    <row r="1392" spans="1:8" ht="15" customHeight="1">
      <c r="A1392" s="302"/>
      <c r="D1392" s="299"/>
      <c r="E1392" s="300"/>
      <c r="F1392" s="301" t="s">
        <v>93</v>
      </c>
      <c r="G1392" s="811">
        <f>SUM(G1390:G1391)</f>
        <v>9.36</v>
      </c>
      <c r="H1392" s="304"/>
    </row>
    <row r="1393" spans="1:8">
      <c r="A1393" s="305"/>
      <c r="B1393" s="306"/>
      <c r="C1393" s="307"/>
      <c r="D1393" s="308"/>
      <c r="E1393" s="305"/>
      <c r="F1393" s="306"/>
      <c r="G1393" s="306"/>
      <c r="H1393" s="306"/>
    </row>
    <row r="1395" spans="1:8">
      <c r="A1395" s="826" t="s">
        <v>2709</v>
      </c>
    </row>
    <row r="1396" spans="1:8">
      <c r="A1396" s="122" t="s">
        <v>1195</v>
      </c>
      <c r="B1396" s="148" t="s">
        <v>1734</v>
      </c>
      <c r="C1396" s="123"/>
    </row>
    <row r="1397" spans="1:8" ht="27.75" customHeight="1">
      <c r="A1397" s="122" t="s">
        <v>76</v>
      </c>
      <c r="B1397" s="1161" t="s">
        <v>1735</v>
      </c>
      <c r="C1397" s="1161"/>
      <c r="D1397" s="1161"/>
      <c r="E1397" s="495" t="s">
        <v>383</v>
      </c>
      <c r="F1397" s="289"/>
      <c r="G1397" s="289"/>
    </row>
    <row r="1398" spans="1:8" ht="20.399999999999999">
      <c r="A1398" s="291" t="s">
        <v>30</v>
      </c>
      <c r="B1398" s="292" t="s">
        <v>19</v>
      </c>
      <c r="C1398" s="293" t="s">
        <v>81</v>
      </c>
      <c r="D1398" s="293" t="s">
        <v>77</v>
      </c>
      <c r="E1398" s="294" t="s">
        <v>82</v>
      </c>
      <c r="F1398" s="295" t="s">
        <v>83</v>
      </c>
      <c r="G1398" s="296" t="s">
        <v>84</v>
      </c>
    </row>
    <row r="1399" spans="1:8" ht="30.6">
      <c r="A1399" s="309">
        <v>13333</v>
      </c>
      <c r="B1399" s="297" t="s">
        <v>1733</v>
      </c>
      <c r="C1399" s="295" t="s">
        <v>1260</v>
      </c>
      <c r="D1399" s="293" t="s">
        <v>77</v>
      </c>
      <c r="E1399" s="294">
        <v>8.0000000000000007E-5</v>
      </c>
      <c r="F1399" s="315">
        <v>146282.53</v>
      </c>
      <c r="G1399" s="296">
        <f>TRUNC(E1399*F1399,2)</f>
        <v>11.7</v>
      </c>
    </row>
    <row r="1400" spans="1:8" ht="15" customHeight="1">
      <c r="D1400" s="299"/>
      <c r="E1400" s="300"/>
      <c r="F1400" s="301" t="s">
        <v>90</v>
      </c>
      <c r="G1400" s="296"/>
    </row>
    <row r="1401" spans="1:8" ht="15" customHeight="1">
      <c r="D1401" s="299"/>
      <c r="E1401" s="300"/>
      <c r="F1401" s="301" t="s">
        <v>92</v>
      </c>
      <c r="G1401" s="296">
        <f>G1399</f>
        <v>11.7</v>
      </c>
    </row>
    <row r="1402" spans="1:8" ht="15" customHeight="1">
      <c r="A1402" s="302"/>
      <c r="D1402" s="299"/>
      <c r="E1402" s="300"/>
      <c r="F1402" s="301" t="s">
        <v>93</v>
      </c>
      <c r="G1402" s="303">
        <f>SUM(G1400:G1401)</f>
        <v>11.7</v>
      </c>
      <c r="H1402" s="304"/>
    </row>
    <row r="1403" spans="1:8">
      <c r="A1403" s="305"/>
      <c r="B1403" s="306"/>
      <c r="C1403" s="307"/>
      <c r="D1403" s="308"/>
      <c r="E1403" s="305"/>
      <c r="F1403" s="306"/>
      <c r="G1403" s="306"/>
      <c r="H1403" s="306"/>
    </row>
    <row r="1405" spans="1:8">
      <c r="A1405" s="826" t="s">
        <v>2709</v>
      </c>
    </row>
    <row r="1406" spans="1:8">
      <c r="A1406" s="122" t="s">
        <v>1195</v>
      </c>
      <c r="B1406" s="148" t="s">
        <v>1736</v>
      </c>
      <c r="C1406" s="123"/>
    </row>
    <row r="1407" spans="1:8" ht="33.75" customHeight="1">
      <c r="A1407" s="122" t="s">
        <v>76</v>
      </c>
      <c r="B1407" s="1161" t="s">
        <v>1724</v>
      </c>
      <c r="C1407" s="1161"/>
      <c r="D1407" s="1161"/>
      <c r="E1407" s="495" t="s">
        <v>383</v>
      </c>
      <c r="F1407" s="289"/>
      <c r="G1407" s="289"/>
    </row>
    <row r="1408" spans="1:8" ht="20.399999999999999">
      <c r="A1408" s="291" t="s">
        <v>30</v>
      </c>
      <c r="B1408" s="292" t="s">
        <v>19</v>
      </c>
      <c r="C1408" s="293" t="s">
        <v>81</v>
      </c>
      <c r="D1408" s="293" t="s">
        <v>77</v>
      </c>
      <c r="E1408" s="294" t="s">
        <v>82</v>
      </c>
      <c r="F1408" s="295" t="s">
        <v>83</v>
      </c>
      <c r="G1408" s="296" t="s">
        <v>84</v>
      </c>
    </row>
    <row r="1409" spans="1:8" ht="16.5" customHeight="1">
      <c r="A1409" s="309">
        <v>4221</v>
      </c>
      <c r="B1409" s="297" t="s">
        <v>1737</v>
      </c>
      <c r="C1409" s="295" t="s">
        <v>87</v>
      </c>
      <c r="D1409" s="293" t="s">
        <v>1207</v>
      </c>
      <c r="E1409" s="311">
        <v>7.95</v>
      </c>
      <c r="F1409" s="823">
        <v>3.26</v>
      </c>
      <c r="G1409" s="296">
        <f>TRUNC(E1409*F1409,2)</f>
        <v>25.91</v>
      </c>
    </row>
    <row r="1410" spans="1:8" ht="15" customHeight="1">
      <c r="D1410" s="299"/>
      <c r="E1410" s="300"/>
      <c r="F1410" s="301" t="s">
        <v>90</v>
      </c>
      <c r="G1410" s="296"/>
    </row>
    <row r="1411" spans="1:8" ht="15" customHeight="1">
      <c r="D1411" s="299"/>
      <c r="E1411" s="300"/>
      <c r="F1411" s="301" t="s">
        <v>92</v>
      </c>
      <c r="G1411" s="296">
        <f>G1409</f>
        <v>25.91</v>
      </c>
    </row>
    <row r="1412" spans="1:8" ht="15" customHeight="1">
      <c r="A1412" s="302"/>
      <c r="D1412" s="299"/>
      <c r="E1412" s="300"/>
      <c r="F1412" s="301" t="s">
        <v>93</v>
      </c>
      <c r="G1412" s="811">
        <f>SUM(G1410:G1411)</f>
        <v>25.91</v>
      </c>
      <c r="H1412" s="304"/>
    </row>
    <row r="1413" spans="1:8">
      <c r="A1413" s="305"/>
      <c r="B1413" s="306"/>
      <c r="C1413" s="307"/>
      <c r="D1413" s="308"/>
      <c r="E1413" s="305"/>
      <c r="F1413" s="306"/>
      <c r="G1413" s="306"/>
      <c r="H1413" s="306"/>
    </row>
    <row r="1415" spans="1:8">
      <c r="A1415" s="826" t="s">
        <v>2709</v>
      </c>
    </row>
    <row r="1416" spans="1:8">
      <c r="A1416" s="122" t="s">
        <v>1195</v>
      </c>
      <c r="B1416" s="148" t="s">
        <v>1738</v>
      </c>
      <c r="C1416" s="123"/>
    </row>
    <row r="1417" spans="1:8" ht="26.25" customHeight="1">
      <c r="A1417" s="122" t="s">
        <v>76</v>
      </c>
      <c r="B1417" s="1161" t="s">
        <v>1725</v>
      </c>
      <c r="C1417" s="1161"/>
      <c r="D1417" s="1161"/>
      <c r="E1417" s="495" t="s">
        <v>383</v>
      </c>
      <c r="F1417" s="289"/>
      <c r="G1417" s="289"/>
    </row>
    <row r="1418" spans="1:8" ht="20.399999999999999">
      <c r="A1418" s="291" t="s">
        <v>30</v>
      </c>
      <c r="B1418" s="292" t="s">
        <v>19</v>
      </c>
      <c r="C1418" s="293" t="s">
        <v>81</v>
      </c>
      <c r="D1418" s="293" t="s">
        <v>77</v>
      </c>
      <c r="E1418" s="294" t="s">
        <v>82</v>
      </c>
      <c r="F1418" s="295" t="s">
        <v>83</v>
      </c>
      <c r="G1418" s="296" t="s">
        <v>84</v>
      </c>
    </row>
    <row r="1419" spans="1:8" ht="30.6">
      <c r="A1419" s="309" t="s">
        <v>1732</v>
      </c>
      <c r="B1419" s="297" t="s">
        <v>1733</v>
      </c>
      <c r="C1419" s="295" t="s">
        <v>1260</v>
      </c>
      <c r="D1419" s="293" t="s">
        <v>77</v>
      </c>
      <c r="E1419" s="828">
        <v>7.1999999999999997E-6</v>
      </c>
      <c r="F1419" s="823">
        <v>146282.53</v>
      </c>
      <c r="G1419" s="296">
        <f>TRUNC(E1419*F1419,2)</f>
        <v>1.05</v>
      </c>
    </row>
    <row r="1420" spans="1:8" ht="15" customHeight="1">
      <c r="D1420" s="299"/>
      <c r="E1420" s="300"/>
      <c r="F1420" s="301" t="s">
        <v>90</v>
      </c>
      <c r="G1420" s="296"/>
    </row>
    <row r="1421" spans="1:8" ht="15" customHeight="1">
      <c r="D1421" s="299"/>
      <c r="E1421" s="300"/>
      <c r="F1421" s="301" t="s">
        <v>92</v>
      </c>
      <c r="G1421" s="296">
        <f>G1419</f>
        <v>1.05</v>
      </c>
    </row>
    <row r="1422" spans="1:8" ht="15" customHeight="1">
      <c r="A1422" s="302"/>
      <c r="D1422" s="299"/>
      <c r="E1422" s="300"/>
      <c r="F1422" s="301" t="s">
        <v>93</v>
      </c>
      <c r="G1422" s="811">
        <f>SUM(G1420:G1421)</f>
        <v>1.05</v>
      </c>
      <c r="H1422" s="304"/>
    </row>
    <row r="1423" spans="1:8">
      <c r="A1423" s="305"/>
      <c r="B1423" s="306"/>
      <c r="C1423" s="307"/>
      <c r="D1423" s="308"/>
      <c r="E1423" s="305"/>
      <c r="F1423" s="306"/>
      <c r="G1423" s="306"/>
      <c r="H1423" s="306"/>
    </row>
    <row r="1425" spans="1:9">
      <c r="A1425" s="826" t="s">
        <v>2709</v>
      </c>
    </row>
    <row r="1426" spans="1:9">
      <c r="A1426" s="122" t="s">
        <v>1195</v>
      </c>
      <c r="B1426" s="148" t="s">
        <v>2439</v>
      </c>
      <c r="C1426" s="123"/>
    </row>
    <row r="1427" spans="1:9" ht="25.5" customHeight="1">
      <c r="A1427" s="122" t="s">
        <v>76</v>
      </c>
      <c r="B1427" s="1161" t="s">
        <v>1408</v>
      </c>
      <c r="C1427" s="1161"/>
      <c r="D1427" s="495" t="s">
        <v>1277</v>
      </c>
      <c r="F1427" s="289"/>
      <c r="G1427" s="289"/>
    </row>
    <row r="1428" spans="1:9" ht="20.399999999999999">
      <c r="A1428" s="291" t="s">
        <v>30</v>
      </c>
      <c r="B1428" s="292" t="s">
        <v>19</v>
      </c>
      <c r="C1428" s="293" t="s">
        <v>81</v>
      </c>
      <c r="D1428" s="293" t="s">
        <v>77</v>
      </c>
      <c r="E1428" s="294" t="s">
        <v>82</v>
      </c>
      <c r="F1428" s="295" t="s">
        <v>83</v>
      </c>
      <c r="G1428" s="296" t="s">
        <v>84</v>
      </c>
    </row>
    <row r="1429" spans="1:9" ht="14.1" customHeight="1">
      <c r="A1429" s="1159">
        <v>88295</v>
      </c>
      <c r="B1429" s="1129" t="s">
        <v>1410</v>
      </c>
      <c r="C1429" s="293" t="s">
        <v>104</v>
      </c>
      <c r="D1429" s="1189" t="s">
        <v>383</v>
      </c>
      <c r="E1429" s="1285">
        <v>1</v>
      </c>
      <c r="F1429" s="837">
        <f>G1451</f>
        <v>10.399999999999999</v>
      </c>
      <c r="G1429" s="342">
        <f>TRUNC(E1429*F1429,2)</f>
        <v>10.4</v>
      </c>
    </row>
    <row r="1430" spans="1:9" ht="14.1" customHeight="1">
      <c r="A1430" s="1164"/>
      <c r="B1430" s="1130"/>
      <c r="C1430" s="294" t="s">
        <v>87</v>
      </c>
      <c r="D1430" s="1190"/>
      <c r="E1430" s="1286"/>
      <c r="F1430" s="837">
        <f>G1452</f>
        <v>3.99</v>
      </c>
      <c r="G1430" s="342">
        <f>TRUNC(E1429*F1430,2)</f>
        <v>3.99</v>
      </c>
    </row>
    <row r="1431" spans="1:9" ht="30.6">
      <c r="A1431" s="343">
        <v>93277</v>
      </c>
      <c r="B1431" s="297" t="s">
        <v>1411</v>
      </c>
      <c r="C1431" s="294" t="s">
        <v>1260</v>
      </c>
      <c r="D1431" s="293" t="s">
        <v>383</v>
      </c>
      <c r="E1431" s="344">
        <v>1</v>
      </c>
      <c r="F1431" s="825">
        <v>0.26</v>
      </c>
      <c r="G1431" s="312">
        <f t="shared" ref="G1431:G1434" si="73">TRUNC(E1431*F1431,2)</f>
        <v>0.26</v>
      </c>
    </row>
    <row r="1432" spans="1:9" ht="30.6">
      <c r="A1432" s="343">
        <v>93278</v>
      </c>
      <c r="B1432" s="297" t="s">
        <v>1412</v>
      </c>
      <c r="C1432" s="294" t="s">
        <v>1260</v>
      </c>
      <c r="D1432" s="293" t="s">
        <v>383</v>
      </c>
      <c r="E1432" s="344">
        <v>2</v>
      </c>
      <c r="F1432" s="825">
        <v>0.03</v>
      </c>
      <c r="G1432" s="312">
        <f t="shared" si="73"/>
        <v>0.06</v>
      </c>
    </row>
    <row r="1433" spans="1:9" ht="30.6">
      <c r="A1433" s="343">
        <v>93279</v>
      </c>
      <c r="B1433" s="297" t="s">
        <v>1413</v>
      </c>
      <c r="C1433" s="294" t="s">
        <v>1260</v>
      </c>
      <c r="D1433" s="293" t="s">
        <v>383</v>
      </c>
      <c r="E1433" s="344">
        <v>3</v>
      </c>
      <c r="F1433" s="825">
        <f>G1493</f>
        <v>0.25</v>
      </c>
      <c r="G1433" s="312">
        <f t="shared" si="73"/>
        <v>0.75</v>
      </c>
    </row>
    <row r="1434" spans="1:9" ht="30.6">
      <c r="A1434" s="343">
        <v>93280</v>
      </c>
      <c r="B1434" s="297" t="s">
        <v>1414</v>
      </c>
      <c r="C1434" s="294" t="s">
        <v>1260</v>
      </c>
      <c r="D1434" s="293" t="s">
        <v>383</v>
      </c>
      <c r="E1434" s="344">
        <v>4</v>
      </c>
      <c r="F1434" s="825">
        <v>0.63</v>
      </c>
      <c r="G1434" s="312">
        <f t="shared" si="73"/>
        <v>2.52</v>
      </c>
    </row>
    <row r="1435" spans="1:9" ht="14.1" customHeight="1">
      <c r="D1435" s="319"/>
      <c r="E1435" s="320"/>
      <c r="F1435" s="321" t="s">
        <v>90</v>
      </c>
      <c r="G1435" s="322">
        <f>G1429</f>
        <v>10.4</v>
      </c>
    </row>
    <row r="1436" spans="1:9" ht="14.1" customHeight="1">
      <c r="A1436" s="302"/>
      <c r="D1436" s="299"/>
      <c r="E1436" s="300"/>
      <c r="F1436" s="301" t="s">
        <v>92</v>
      </c>
      <c r="G1436" s="312">
        <f>G1430+G1431+G1432+G1433+G1434</f>
        <v>7.58</v>
      </c>
    </row>
    <row r="1437" spans="1:9" ht="14.1" customHeight="1">
      <c r="A1437" s="302"/>
      <c r="F1437" s="301" t="s">
        <v>93</v>
      </c>
      <c r="G1437" s="820">
        <f>SUM(G1435:G1436)</f>
        <v>17.98</v>
      </c>
      <c r="H1437" s="304"/>
    </row>
    <row r="1438" spans="1:9">
      <c r="A1438" s="305"/>
      <c r="B1438" s="306"/>
      <c r="C1438" s="307"/>
      <c r="D1438" s="308"/>
      <c r="E1438" s="305"/>
      <c r="F1438" s="306"/>
      <c r="G1438" s="306"/>
      <c r="H1438" s="306"/>
      <c r="I1438" s="305"/>
    </row>
    <row r="1440" spans="1:9">
      <c r="A1440" s="826" t="s">
        <v>2710</v>
      </c>
      <c r="C1440" s="124"/>
      <c r="D1440" s="122"/>
      <c r="E1440" s="128"/>
      <c r="H1440" s="122"/>
    </row>
    <row r="1441" spans="1:9">
      <c r="A1441" s="122" t="s">
        <v>33</v>
      </c>
      <c r="B1441" s="149" t="s">
        <v>1415</v>
      </c>
      <c r="C1441" s="124"/>
      <c r="D1441" s="122"/>
      <c r="E1441" s="128"/>
      <c r="H1441" s="122"/>
    </row>
    <row r="1442" spans="1:9">
      <c r="A1442" s="122" t="s">
        <v>76</v>
      </c>
      <c r="B1442" s="1289" t="s">
        <v>1410</v>
      </c>
      <c r="C1442" s="1289"/>
      <c r="D1442" s="150" t="s">
        <v>383</v>
      </c>
      <c r="H1442" s="122"/>
    </row>
    <row r="1443" spans="1:9" ht="20.399999999999999">
      <c r="A1443" s="361" t="s">
        <v>30</v>
      </c>
      <c r="B1443" s="297" t="s">
        <v>19</v>
      </c>
      <c r="C1443" s="293" t="s">
        <v>81</v>
      </c>
      <c r="D1443" s="293" t="s">
        <v>77</v>
      </c>
      <c r="E1443" s="294" t="s">
        <v>82</v>
      </c>
      <c r="F1443" s="295" t="s">
        <v>83</v>
      </c>
      <c r="G1443" s="324" t="s">
        <v>84</v>
      </c>
      <c r="H1443" s="122"/>
    </row>
    <row r="1444" spans="1:9" ht="14.1" customHeight="1">
      <c r="A1444" s="309">
        <v>4253</v>
      </c>
      <c r="B1444" s="297" t="s">
        <v>1416</v>
      </c>
      <c r="C1444" s="293" t="s">
        <v>104</v>
      </c>
      <c r="D1444" s="293" t="s">
        <v>383</v>
      </c>
      <c r="E1444" s="325">
        <v>1</v>
      </c>
      <c r="F1444" s="821">
        <v>10.29</v>
      </c>
      <c r="G1444" s="312">
        <f>TRUNC(E1444*F1444,2)</f>
        <v>10.29</v>
      </c>
      <c r="H1444" s="122"/>
    </row>
    <row r="1445" spans="1:9" ht="20.399999999999999">
      <c r="A1445" s="309" t="s">
        <v>1290</v>
      </c>
      <c r="B1445" s="297" t="s">
        <v>1291</v>
      </c>
      <c r="C1445" s="293" t="s">
        <v>1292</v>
      </c>
      <c r="D1445" s="293" t="s">
        <v>383</v>
      </c>
      <c r="E1445" s="325">
        <v>1</v>
      </c>
      <c r="F1445" s="816">
        <v>2.2000000000000002</v>
      </c>
      <c r="G1445" s="296">
        <f t="shared" ref="G1445:G1450" si="74">TRUNC(E1445*F1445,2)</f>
        <v>2.2000000000000002</v>
      </c>
      <c r="H1445" s="122"/>
    </row>
    <row r="1446" spans="1:9" ht="20.399999999999999">
      <c r="A1446" s="309" t="s">
        <v>1293</v>
      </c>
      <c r="B1446" s="297" t="s">
        <v>1294</v>
      </c>
      <c r="C1446" s="293" t="s">
        <v>1292</v>
      </c>
      <c r="D1446" s="293" t="s">
        <v>383</v>
      </c>
      <c r="E1446" s="325">
        <v>1</v>
      </c>
      <c r="F1446" s="816">
        <v>0.71</v>
      </c>
      <c r="G1446" s="312">
        <f t="shared" si="74"/>
        <v>0.71</v>
      </c>
      <c r="H1446" s="122"/>
    </row>
    <row r="1447" spans="1:9" ht="20.399999999999999">
      <c r="A1447" s="309" t="s">
        <v>1295</v>
      </c>
      <c r="B1447" s="297" t="s">
        <v>1296</v>
      </c>
      <c r="C1447" s="293" t="s">
        <v>1292</v>
      </c>
      <c r="D1447" s="293" t="s">
        <v>383</v>
      </c>
      <c r="E1447" s="325">
        <v>1</v>
      </c>
      <c r="F1447" s="816">
        <v>0.35</v>
      </c>
      <c r="G1447" s="296">
        <f t="shared" si="74"/>
        <v>0.35</v>
      </c>
      <c r="H1447" s="122"/>
    </row>
    <row r="1448" spans="1:9" ht="20.399999999999999">
      <c r="A1448" s="309" t="s">
        <v>1297</v>
      </c>
      <c r="B1448" s="297" t="s">
        <v>1298</v>
      </c>
      <c r="C1448" s="293" t="s">
        <v>1292</v>
      </c>
      <c r="D1448" s="293" t="s">
        <v>383</v>
      </c>
      <c r="E1448" s="325">
        <v>1</v>
      </c>
      <c r="F1448" s="816">
        <v>7.0000000000000007E-2</v>
      </c>
      <c r="G1448" s="296">
        <f t="shared" si="74"/>
        <v>7.0000000000000007E-2</v>
      </c>
      <c r="H1448" s="122"/>
    </row>
    <row r="1449" spans="1:9" ht="14.1" customHeight="1">
      <c r="A1449" s="309" t="s">
        <v>1299</v>
      </c>
      <c r="B1449" s="297" t="s">
        <v>1223</v>
      </c>
      <c r="C1449" s="293" t="s">
        <v>87</v>
      </c>
      <c r="D1449" s="293" t="s">
        <v>383</v>
      </c>
      <c r="E1449" s="325">
        <v>1</v>
      </c>
      <c r="F1449" s="816">
        <v>0.66</v>
      </c>
      <c r="G1449" s="312">
        <f t="shared" si="74"/>
        <v>0.66</v>
      </c>
      <c r="H1449" s="122"/>
    </row>
    <row r="1450" spans="1:9" ht="20.399999999999999">
      <c r="A1450" s="309">
        <v>95358</v>
      </c>
      <c r="B1450" s="297" t="s">
        <v>1417</v>
      </c>
      <c r="C1450" s="293" t="s">
        <v>104</v>
      </c>
      <c r="D1450" s="293" t="s">
        <v>383</v>
      </c>
      <c r="E1450" s="325">
        <v>1</v>
      </c>
      <c r="F1450" s="816">
        <v>0.11</v>
      </c>
      <c r="G1450" s="312">
        <f t="shared" si="74"/>
        <v>0.11</v>
      </c>
      <c r="H1450" s="122"/>
    </row>
    <row r="1451" spans="1:9" ht="14.1" customHeight="1">
      <c r="C1451" s="124"/>
      <c r="D1451" s="328"/>
      <c r="E1451" s="300"/>
      <c r="F1451" s="301" t="s">
        <v>90</v>
      </c>
      <c r="G1451" s="312">
        <f>G1444+G1450</f>
        <v>10.399999999999999</v>
      </c>
      <c r="H1451" s="122"/>
    </row>
    <row r="1452" spans="1:9" ht="14.1" customHeight="1">
      <c r="C1452" s="124"/>
      <c r="E1452" s="300"/>
      <c r="F1452" s="301" t="s">
        <v>92</v>
      </c>
      <c r="G1452" s="312">
        <f>SUM(G1445:G1449)</f>
        <v>3.99</v>
      </c>
      <c r="H1452" s="122"/>
    </row>
    <row r="1453" spans="1:9" ht="14.1" customHeight="1">
      <c r="A1453" s="302"/>
      <c r="C1453" s="124"/>
      <c r="D1453" s="319"/>
      <c r="E1453" s="300"/>
      <c r="F1453" s="301" t="s">
        <v>93</v>
      </c>
      <c r="G1453" s="811">
        <f>SUM(G1451:G1452)</f>
        <v>14.389999999999999</v>
      </c>
      <c r="H1453" s="122"/>
    </row>
    <row r="1454" spans="1:9">
      <c r="A1454" s="305"/>
      <c r="B1454" s="306"/>
      <c r="C1454" s="308"/>
      <c r="D1454" s="305"/>
      <c r="E1454" s="306"/>
      <c r="F1454" s="306"/>
      <c r="G1454" s="306"/>
      <c r="H1454" s="305"/>
      <c r="I1454" s="305"/>
    </row>
    <row r="1456" spans="1:9">
      <c r="A1456" s="826" t="s">
        <v>2709</v>
      </c>
    </row>
    <row r="1457" spans="1:9">
      <c r="A1457" s="122" t="s">
        <v>1195</v>
      </c>
      <c r="B1457" s="149" t="s">
        <v>1418</v>
      </c>
      <c r="C1457" s="123"/>
    </row>
    <row r="1458" spans="1:9" ht="20.399999999999999">
      <c r="A1458" s="122" t="s">
        <v>76</v>
      </c>
      <c r="B1458" s="290" t="s">
        <v>1417</v>
      </c>
      <c r="C1458" s="150" t="s">
        <v>383</v>
      </c>
      <c r="E1458" s="289" t="s">
        <v>2</v>
      </c>
      <c r="F1458" s="289"/>
      <c r="G1458" s="289"/>
    </row>
    <row r="1459" spans="1:9" ht="20.399999999999999">
      <c r="A1459" s="291" t="s">
        <v>30</v>
      </c>
      <c r="B1459" s="292" t="s">
        <v>19</v>
      </c>
      <c r="C1459" s="310" t="s">
        <v>1419</v>
      </c>
      <c r="D1459" s="293" t="s">
        <v>77</v>
      </c>
      <c r="E1459" s="294" t="s">
        <v>82</v>
      </c>
      <c r="F1459" s="295" t="s">
        <v>83</v>
      </c>
      <c r="G1459" s="296" t="s">
        <v>84</v>
      </c>
    </row>
    <row r="1460" spans="1:9" ht="14.1" customHeight="1">
      <c r="A1460" s="309">
        <v>4253</v>
      </c>
      <c r="B1460" s="297" t="s">
        <v>1416</v>
      </c>
      <c r="C1460" s="295" t="s">
        <v>104</v>
      </c>
      <c r="D1460" s="293" t="s">
        <v>383</v>
      </c>
      <c r="E1460" s="828">
        <v>1.1299999999999999E-2</v>
      </c>
      <c r="F1460" s="825">
        <v>10.29</v>
      </c>
      <c r="G1460" s="296">
        <f>TRUNC(E1460*F1460,2)</f>
        <v>0.11</v>
      </c>
    </row>
    <row r="1461" spans="1:9" ht="14.1" customHeight="1">
      <c r="D1461" s="299"/>
      <c r="E1461" s="300"/>
      <c r="F1461" s="301" t="s">
        <v>90</v>
      </c>
      <c r="G1461" s="296">
        <f>G1460</f>
        <v>0.11</v>
      </c>
    </row>
    <row r="1462" spans="1:9" ht="14.1" customHeight="1">
      <c r="D1462" s="299"/>
      <c r="E1462" s="300"/>
      <c r="F1462" s="301" t="s">
        <v>92</v>
      </c>
      <c r="G1462" s="296"/>
    </row>
    <row r="1463" spans="1:9" ht="14.1" customHeight="1">
      <c r="A1463" s="302"/>
      <c r="D1463" s="299"/>
      <c r="E1463" s="300"/>
      <c r="F1463" s="301" t="s">
        <v>93</v>
      </c>
      <c r="G1463" s="811">
        <f>SUM(G1461:G1462)</f>
        <v>0.11</v>
      </c>
      <c r="H1463" s="304"/>
    </row>
    <row r="1464" spans="1:9">
      <c r="A1464" s="305"/>
      <c r="B1464" s="306"/>
      <c r="C1464" s="307"/>
      <c r="D1464" s="308"/>
      <c r="E1464" s="305"/>
      <c r="F1464" s="306"/>
      <c r="G1464" s="306"/>
      <c r="H1464" s="306"/>
      <c r="I1464" s="305"/>
    </row>
    <row r="1466" spans="1:9">
      <c r="A1466" s="826" t="s">
        <v>2709</v>
      </c>
    </row>
    <row r="1467" spans="1:9" ht="13.5" customHeight="1">
      <c r="A1467" s="122" t="s">
        <v>1195</v>
      </c>
      <c r="B1467" s="149" t="s">
        <v>2440</v>
      </c>
      <c r="C1467" s="123"/>
    </row>
    <row r="1468" spans="1:9" ht="21.75" customHeight="1">
      <c r="A1468" s="122" t="s">
        <v>76</v>
      </c>
      <c r="B1468" s="1161" t="s">
        <v>1420</v>
      </c>
      <c r="C1468" s="1161"/>
      <c r="D1468" s="496" t="s">
        <v>383</v>
      </c>
      <c r="F1468" s="289"/>
      <c r="G1468" s="289"/>
    </row>
    <row r="1469" spans="1:9" ht="20.399999999999999">
      <c r="A1469" s="291" t="s">
        <v>30</v>
      </c>
      <c r="B1469" s="297" t="s">
        <v>19</v>
      </c>
      <c r="C1469" s="295" t="s">
        <v>1419</v>
      </c>
      <c r="D1469" s="293" t="s">
        <v>77</v>
      </c>
      <c r="E1469" s="294" t="s">
        <v>82</v>
      </c>
      <c r="F1469" s="295" t="s">
        <v>83</v>
      </c>
      <c r="G1469" s="296" t="s">
        <v>84</v>
      </c>
    </row>
    <row r="1470" spans="1:9" ht="20.399999999999999">
      <c r="A1470" s="309">
        <v>36487</v>
      </c>
      <c r="B1470" s="297" t="s">
        <v>1422</v>
      </c>
      <c r="C1470" s="295" t="s">
        <v>1260</v>
      </c>
      <c r="D1470" s="293" t="s">
        <v>77</v>
      </c>
      <c r="E1470" s="294">
        <v>6.3999999999999997E-5</v>
      </c>
      <c r="F1470" s="823">
        <v>4205.1899999999996</v>
      </c>
      <c r="G1470" s="296">
        <f>TRUNC(E1470*F1470,2)</f>
        <v>0.26</v>
      </c>
    </row>
    <row r="1471" spans="1:9" ht="14.1" customHeight="1">
      <c r="D1471" s="299"/>
      <c r="E1471" s="300"/>
      <c r="F1471" s="301" t="s">
        <v>90</v>
      </c>
      <c r="G1471" s="296"/>
    </row>
    <row r="1472" spans="1:9" ht="14.1" customHeight="1">
      <c r="D1472" s="299"/>
      <c r="E1472" s="300"/>
      <c r="F1472" s="301" t="s">
        <v>92</v>
      </c>
      <c r="G1472" s="296">
        <f>G1470</f>
        <v>0.26</v>
      </c>
    </row>
    <row r="1473" spans="1:9" ht="14.1" customHeight="1">
      <c r="A1473" s="302"/>
      <c r="D1473" s="299"/>
      <c r="E1473" s="300"/>
      <c r="F1473" s="301" t="s">
        <v>93</v>
      </c>
      <c r="G1473" s="303">
        <f>SUM(G1471:G1472)</f>
        <v>0.26</v>
      </c>
      <c r="H1473" s="304"/>
    </row>
    <row r="1474" spans="1:9">
      <c r="A1474" s="305"/>
      <c r="B1474" s="306"/>
      <c r="C1474" s="307"/>
      <c r="D1474" s="308"/>
      <c r="E1474" s="305"/>
      <c r="F1474" s="306"/>
      <c r="G1474" s="306"/>
      <c r="H1474" s="306"/>
      <c r="I1474" s="305"/>
    </row>
    <row r="1476" spans="1:9">
      <c r="A1476" s="826" t="s">
        <v>2709</v>
      </c>
    </row>
    <row r="1477" spans="1:9" ht="13.5" customHeight="1">
      <c r="A1477" s="122" t="s">
        <v>1195</v>
      </c>
      <c r="B1477" s="149" t="s">
        <v>2441</v>
      </c>
      <c r="C1477" s="123"/>
    </row>
    <row r="1478" spans="1:9" ht="21" customHeight="1">
      <c r="A1478" s="122" t="s">
        <v>76</v>
      </c>
      <c r="B1478" s="1161" t="s">
        <v>1423</v>
      </c>
      <c r="C1478" s="1161"/>
      <c r="D1478" s="496" t="s">
        <v>383</v>
      </c>
      <c r="F1478" s="289"/>
      <c r="G1478" s="289"/>
    </row>
    <row r="1479" spans="1:9" ht="20.399999999999999">
      <c r="A1479" s="291" t="s">
        <v>30</v>
      </c>
      <c r="B1479" s="297" t="s">
        <v>19</v>
      </c>
      <c r="C1479" s="295" t="s">
        <v>1419</v>
      </c>
      <c r="D1479" s="293" t="s">
        <v>77</v>
      </c>
      <c r="E1479" s="294" t="s">
        <v>82</v>
      </c>
      <c r="F1479" s="295" t="s">
        <v>83</v>
      </c>
      <c r="G1479" s="296" t="s">
        <v>84</v>
      </c>
    </row>
    <row r="1480" spans="1:9" ht="20.399999999999999">
      <c r="A1480" s="309" t="s">
        <v>1421</v>
      </c>
      <c r="B1480" s="297" t="s">
        <v>1422</v>
      </c>
      <c r="C1480" s="295" t="s">
        <v>1260</v>
      </c>
      <c r="D1480" s="293" t="s">
        <v>77</v>
      </c>
      <c r="E1480" s="828">
        <v>7.6000000000000001E-6</v>
      </c>
      <c r="F1480" s="823">
        <v>4205.1899999999996</v>
      </c>
      <c r="G1480" s="296">
        <f>TRUNC(E1480*F1480,2)</f>
        <v>0.03</v>
      </c>
    </row>
    <row r="1481" spans="1:9" ht="14.1" customHeight="1">
      <c r="D1481" s="299"/>
      <c r="E1481" s="300"/>
      <c r="F1481" s="301" t="s">
        <v>90</v>
      </c>
      <c r="G1481" s="296"/>
    </row>
    <row r="1482" spans="1:9" ht="14.1" customHeight="1">
      <c r="D1482" s="299"/>
      <c r="E1482" s="300"/>
      <c r="F1482" s="301" t="s">
        <v>92</v>
      </c>
      <c r="G1482" s="296">
        <f>G1480</f>
        <v>0.03</v>
      </c>
    </row>
    <row r="1483" spans="1:9" ht="14.1" customHeight="1">
      <c r="A1483" s="302"/>
      <c r="D1483" s="299"/>
      <c r="E1483" s="300"/>
      <c r="F1483" s="301" t="s">
        <v>93</v>
      </c>
      <c r="G1483" s="303">
        <f>SUM(G1481:G1482)</f>
        <v>0.03</v>
      </c>
      <c r="H1483" s="304"/>
    </row>
    <row r="1484" spans="1:9">
      <c r="A1484" s="305"/>
      <c r="B1484" s="306"/>
      <c r="C1484" s="307"/>
      <c r="D1484" s="308"/>
      <c r="E1484" s="305"/>
      <c r="F1484" s="306"/>
      <c r="G1484" s="306"/>
      <c r="H1484" s="306"/>
      <c r="I1484" s="305"/>
    </row>
    <row r="1486" spans="1:9">
      <c r="A1486" s="122" t="s">
        <v>1194</v>
      </c>
    </row>
    <row r="1487" spans="1:9" ht="12.75" customHeight="1">
      <c r="A1487" s="122" t="s">
        <v>1195</v>
      </c>
      <c r="B1487" s="149" t="s">
        <v>2442</v>
      </c>
      <c r="C1487" s="123"/>
    </row>
    <row r="1488" spans="1:9" ht="21" customHeight="1">
      <c r="A1488" s="122" t="s">
        <v>76</v>
      </c>
      <c r="B1488" s="1161" t="s">
        <v>1424</v>
      </c>
      <c r="C1488" s="1161"/>
      <c r="D1488" s="495" t="s">
        <v>383</v>
      </c>
      <c r="F1488" s="289"/>
      <c r="G1488" s="289"/>
    </row>
    <row r="1489" spans="1:9" ht="20.399999999999999">
      <c r="A1489" s="291" t="s">
        <v>30</v>
      </c>
      <c r="B1489" s="297" t="s">
        <v>19</v>
      </c>
      <c r="C1489" s="295" t="s">
        <v>1419</v>
      </c>
      <c r="D1489" s="293" t="s">
        <v>77</v>
      </c>
      <c r="E1489" s="294" t="s">
        <v>82</v>
      </c>
      <c r="F1489" s="295" t="s">
        <v>83</v>
      </c>
      <c r="G1489" s="296" t="s">
        <v>84</v>
      </c>
    </row>
    <row r="1490" spans="1:9" ht="20.399999999999999">
      <c r="A1490" s="309" t="s">
        <v>1421</v>
      </c>
      <c r="B1490" s="297" t="s">
        <v>1422</v>
      </c>
      <c r="C1490" s="295" t="s">
        <v>1260</v>
      </c>
      <c r="D1490" s="293" t="s">
        <v>77</v>
      </c>
      <c r="E1490" s="294">
        <v>6.0000000000000002E-5</v>
      </c>
      <c r="F1490" s="315">
        <v>4279.5600000000004</v>
      </c>
      <c r="G1490" s="296">
        <f>TRUNC(E1490*F1490,2)</f>
        <v>0.25</v>
      </c>
    </row>
    <row r="1491" spans="1:9" ht="14.1" customHeight="1">
      <c r="D1491" s="299"/>
      <c r="E1491" s="300"/>
      <c r="F1491" s="301" t="s">
        <v>90</v>
      </c>
      <c r="G1491" s="296"/>
    </row>
    <row r="1492" spans="1:9" ht="14.1" customHeight="1">
      <c r="D1492" s="299"/>
      <c r="E1492" s="300"/>
      <c r="F1492" s="301" t="s">
        <v>92</v>
      </c>
      <c r="G1492" s="296">
        <f>G1490</f>
        <v>0.25</v>
      </c>
    </row>
    <row r="1493" spans="1:9" ht="14.1" customHeight="1">
      <c r="A1493" s="302"/>
      <c r="D1493" s="299"/>
      <c r="E1493" s="300"/>
      <c r="F1493" s="301" t="s">
        <v>93</v>
      </c>
      <c r="G1493" s="303">
        <f>SUM(G1491:G1492)</f>
        <v>0.25</v>
      </c>
      <c r="H1493" s="304"/>
    </row>
    <row r="1494" spans="1:9">
      <c r="A1494" s="305"/>
      <c r="B1494" s="306"/>
      <c r="C1494" s="307"/>
      <c r="D1494" s="308"/>
      <c r="E1494" s="305"/>
      <c r="F1494" s="306"/>
      <c r="G1494" s="306"/>
      <c r="H1494" s="306"/>
      <c r="I1494" s="305"/>
    </row>
    <row r="1496" spans="1:9">
      <c r="A1496" s="122" t="s">
        <v>1194</v>
      </c>
    </row>
    <row r="1497" spans="1:9">
      <c r="A1497" s="122" t="s">
        <v>1195</v>
      </c>
      <c r="B1497" s="149" t="s">
        <v>2443</v>
      </c>
      <c r="C1497" s="123"/>
    </row>
    <row r="1498" spans="1:9" ht="21" customHeight="1">
      <c r="A1498" s="122" t="s">
        <v>76</v>
      </c>
      <c r="B1498" s="1161" t="s">
        <v>1425</v>
      </c>
      <c r="C1498" s="1161"/>
      <c r="D1498" s="495" t="s">
        <v>383</v>
      </c>
      <c r="F1498" s="289"/>
      <c r="G1498" s="289"/>
    </row>
    <row r="1499" spans="1:9" ht="20.399999999999999">
      <c r="A1499" s="291" t="s">
        <v>30</v>
      </c>
      <c r="B1499" s="297" t="s">
        <v>19</v>
      </c>
      <c r="C1499" s="295" t="s">
        <v>1419</v>
      </c>
      <c r="D1499" s="293" t="s">
        <v>77</v>
      </c>
      <c r="E1499" s="294" t="s">
        <v>82</v>
      </c>
      <c r="F1499" s="295" t="s">
        <v>83</v>
      </c>
      <c r="G1499" s="296" t="s">
        <v>84</v>
      </c>
    </row>
    <row r="1500" spans="1:9" ht="20.399999999999999">
      <c r="A1500" s="309" t="s">
        <v>1351</v>
      </c>
      <c r="B1500" s="297" t="s">
        <v>1352</v>
      </c>
      <c r="C1500" s="295" t="s">
        <v>87</v>
      </c>
      <c r="D1500" s="293" t="s">
        <v>1353</v>
      </c>
      <c r="E1500" s="294">
        <v>0.78</v>
      </c>
      <c r="F1500" s="315">
        <v>0.47</v>
      </c>
      <c r="G1500" s="296">
        <f>TRUNC(E1500*F1500,2)</f>
        <v>0.36</v>
      </c>
    </row>
    <row r="1501" spans="1:9" ht="14.1" customHeight="1">
      <c r="D1501" s="299"/>
      <c r="E1501" s="300"/>
      <c r="F1501" s="301" t="s">
        <v>90</v>
      </c>
      <c r="G1501" s="296"/>
    </row>
    <row r="1502" spans="1:9" ht="14.1" customHeight="1">
      <c r="D1502" s="299"/>
      <c r="E1502" s="300"/>
      <c r="F1502" s="301" t="s">
        <v>92</v>
      </c>
      <c r="G1502" s="296">
        <f>G1500</f>
        <v>0.36</v>
      </c>
    </row>
    <row r="1503" spans="1:9" ht="14.1" customHeight="1">
      <c r="A1503" s="302"/>
      <c r="D1503" s="299"/>
      <c r="E1503" s="300"/>
      <c r="F1503" s="301" t="s">
        <v>93</v>
      </c>
      <c r="G1503" s="303">
        <f>SUM(G1501:G1502)</f>
        <v>0.36</v>
      </c>
      <c r="H1503" s="304"/>
    </row>
    <row r="1504" spans="1:9">
      <c r="A1504" s="305"/>
      <c r="B1504" s="306"/>
      <c r="C1504" s="307"/>
      <c r="D1504" s="308"/>
      <c r="E1504" s="305"/>
      <c r="F1504" s="306"/>
      <c r="G1504" s="306"/>
      <c r="H1504" s="306"/>
      <c r="I1504" s="305"/>
    </row>
    <row r="1506" spans="1:9">
      <c r="A1506" s="826" t="s">
        <v>2709</v>
      </c>
    </row>
    <row r="1507" spans="1:9">
      <c r="A1507" s="122" t="s">
        <v>1195</v>
      </c>
      <c r="B1507" s="148" t="s">
        <v>1426</v>
      </c>
      <c r="C1507" s="123"/>
    </row>
    <row r="1508" spans="1:9" ht="23.25" customHeight="1">
      <c r="A1508" s="122" t="s">
        <v>76</v>
      </c>
      <c r="B1508" s="1161" t="s">
        <v>1427</v>
      </c>
      <c r="C1508" s="1161"/>
      <c r="D1508" s="1161"/>
      <c r="E1508" s="150" t="s">
        <v>1256</v>
      </c>
      <c r="F1508" s="289"/>
      <c r="G1508" s="289"/>
    </row>
    <row r="1509" spans="1:9" ht="20.399999999999999">
      <c r="A1509" s="291" t="s">
        <v>30</v>
      </c>
      <c r="B1509" s="297" t="s">
        <v>19</v>
      </c>
      <c r="C1509" s="293" t="s">
        <v>81</v>
      </c>
      <c r="D1509" s="293" t="s">
        <v>77</v>
      </c>
      <c r="E1509" s="294" t="s">
        <v>82</v>
      </c>
      <c r="F1509" s="295" t="s">
        <v>83</v>
      </c>
      <c r="G1509" s="296" t="s">
        <v>84</v>
      </c>
    </row>
    <row r="1510" spans="1:9" ht="14.1" customHeight="1">
      <c r="A1510" s="1159" t="s">
        <v>1409</v>
      </c>
      <c r="B1510" s="1129" t="s">
        <v>1410</v>
      </c>
      <c r="C1510" s="293" t="s">
        <v>104</v>
      </c>
      <c r="D1510" s="1189" t="s">
        <v>383</v>
      </c>
      <c r="E1510" s="1285">
        <v>1</v>
      </c>
      <c r="F1510" s="837">
        <f>G1451</f>
        <v>10.399999999999999</v>
      </c>
      <c r="G1510" s="342">
        <f>TRUNC(E1510*F1510,2)</f>
        <v>10.4</v>
      </c>
    </row>
    <row r="1511" spans="1:9" ht="14.1" customHeight="1">
      <c r="A1511" s="1164"/>
      <c r="B1511" s="1130"/>
      <c r="C1511" s="294" t="s">
        <v>87</v>
      </c>
      <c r="D1511" s="1190"/>
      <c r="E1511" s="1286"/>
      <c r="F1511" s="837">
        <f>G1452</f>
        <v>3.99</v>
      </c>
      <c r="G1511" s="342">
        <f>TRUNC(E1510*F1511,2)</f>
        <v>3.99</v>
      </c>
    </row>
    <row r="1512" spans="1:9" ht="30.6">
      <c r="A1512" s="343">
        <v>93277</v>
      </c>
      <c r="B1512" s="297" t="s">
        <v>1411</v>
      </c>
      <c r="C1512" s="294" t="s">
        <v>1260</v>
      </c>
      <c r="D1512" s="293" t="s">
        <v>383</v>
      </c>
      <c r="E1512" s="344">
        <v>1</v>
      </c>
      <c r="F1512" s="825">
        <f>G1473</f>
        <v>0.26</v>
      </c>
      <c r="G1512" s="312">
        <f t="shared" ref="G1512:G1513" si="75">TRUNC(E1512*F1512,2)</f>
        <v>0.26</v>
      </c>
    </row>
    <row r="1513" spans="1:9" ht="30.6">
      <c r="A1513" s="343">
        <v>93278</v>
      </c>
      <c r="B1513" s="297" t="s">
        <v>1412</v>
      </c>
      <c r="C1513" s="294" t="s">
        <v>1260</v>
      </c>
      <c r="D1513" s="293" t="s">
        <v>383</v>
      </c>
      <c r="E1513" s="344">
        <v>1</v>
      </c>
      <c r="F1513" s="825">
        <f>G1483</f>
        <v>0.03</v>
      </c>
      <c r="G1513" s="312">
        <f t="shared" si="75"/>
        <v>0.03</v>
      </c>
    </row>
    <row r="1514" spans="1:9" ht="14.1" customHeight="1">
      <c r="D1514" s="299"/>
      <c r="E1514" s="300"/>
      <c r="F1514" s="301" t="s">
        <v>90</v>
      </c>
      <c r="G1514" s="312">
        <f>G1510</f>
        <v>10.4</v>
      </c>
    </row>
    <row r="1515" spans="1:9" ht="14.1" customHeight="1">
      <c r="D1515" s="299"/>
      <c r="E1515" s="300"/>
      <c r="F1515" s="301" t="s">
        <v>92</v>
      </c>
      <c r="G1515" s="312">
        <f>G1511+G1512+G1513</f>
        <v>4.28</v>
      </c>
    </row>
    <row r="1516" spans="1:9" ht="14.1" customHeight="1">
      <c r="A1516" s="302"/>
      <c r="D1516" s="299"/>
      <c r="E1516" s="300"/>
      <c r="F1516" s="301" t="s">
        <v>93</v>
      </c>
      <c r="G1516" s="811">
        <f>SUM(G1514:G1515)</f>
        <v>14.68</v>
      </c>
      <c r="H1516" s="304"/>
    </row>
    <row r="1517" spans="1:9">
      <c r="A1517" s="305"/>
      <c r="B1517" s="306"/>
      <c r="C1517" s="307"/>
      <c r="D1517" s="308"/>
      <c r="E1517" s="305"/>
      <c r="F1517" s="306"/>
      <c r="G1517" s="306"/>
      <c r="H1517" s="306"/>
      <c r="I1517" s="305"/>
    </row>
    <row r="1519" spans="1:9">
      <c r="A1519" s="122" t="s">
        <v>1194</v>
      </c>
    </row>
    <row r="1520" spans="1:9">
      <c r="A1520" s="122" t="s">
        <v>1195</v>
      </c>
      <c r="B1520" s="149" t="s">
        <v>1428</v>
      </c>
      <c r="C1520" s="123"/>
    </row>
    <row r="1521" spans="1:9" ht="20.399999999999999">
      <c r="A1521" s="122" t="s">
        <v>76</v>
      </c>
      <c r="B1521" s="290" t="s">
        <v>1429</v>
      </c>
      <c r="C1521" s="150" t="s">
        <v>383</v>
      </c>
      <c r="E1521" s="289" t="s">
        <v>2</v>
      </c>
      <c r="F1521" s="289"/>
      <c r="G1521" s="289"/>
    </row>
    <row r="1522" spans="1:9" ht="20.399999999999999">
      <c r="A1522" s="291" t="s">
        <v>30</v>
      </c>
      <c r="B1522" s="297" t="s">
        <v>19</v>
      </c>
      <c r="C1522" s="295" t="s">
        <v>1419</v>
      </c>
      <c r="D1522" s="293" t="s">
        <v>77</v>
      </c>
      <c r="E1522" s="294" t="s">
        <v>82</v>
      </c>
      <c r="F1522" s="295" t="s">
        <v>83</v>
      </c>
      <c r="G1522" s="296" t="s">
        <v>84</v>
      </c>
    </row>
    <row r="1523" spans="1:9" ht="14.1" customHeight="1">
      <c r="A1523" s="309">
        <v>12869</v>
      </c>
      <c r="B1523" s="297" t="s">
        <v>1430</v>
      </c>
      <c r="C1523" s="295" t="s">
        <v>104</v>
      </c>
      <c r="D1523" s="293" t="s">
        <v>383</v>
      </c>
      <c r="E1523" s="294">
        <v>9.2999999999999992E-3</v>
      </c>
      <c r="F1523" s="298">
        <f>16.02/118.57%</f>
        <v>13.511006156700683</v>
      </c>
      <c r="G1523" s="296">
        <f>TRUNC(E1523*F1523,2)</f>
        <v>0.12</v>
      </c>
    </row>
    <row r="1524" spans="1:9" ht="14.1" customHeight="1">
      <c r="D1524" s="299"/>
      <c r="E1524" s="300"/>
      <c r="F1524" s="301" t="s">
        <v>90</v>
      </c>
      <c r="G1524" s="296">
        <f>G1523</f>
        <v>0.12</v>
      </c>
    </row>
    <row r="1525" spans="1:9" ht="14.1" customHeight="1">
      <c r="D1525" s="299"/>
      <c r="E1525" s="300"/>
      <c r="F1525" s="301" t="s">
        <v>92</v>
      </c>
      <c r="G1525" s="296"/>
    </row>
    <row r="1526" spans="1:9" ht="14.1" customHeight="1">
      <c r="A1526" s="302"/>
      <c r="D1526" s="299"/>
      <c r="E1526" s="300"/>
      <c r="F1526" s="301" t="s">
        <v>93</v>
      </c>
      <c r="G1526" s="303">
        <f>SUM(G1524:G1525)</f>
        <v>0.12</v>
      </c>
      <c r="H1526" s="304"/>
    </row>
    <row r="1527" spans="1:9">
      <c r="A1527" s="305"/>
      <c r="B1527" s="306"/>
      <c r="C1527" s="307"/>
      <c r="D1527" s="308"/>
      <c r="E1527" s="305"/>
      <c r="F1527" s="306"/>
      <c r="G1527" s="306"/>
      <c r="H1527" s="306"/>
      <c r="I1527" s="305"/>
    </row>
    <row r="1529" spans="1:9">
      <c r="A1529" s="122" t="s">
        <v>1194</v>
      </c>
    </row>
    <row r="1530" spans="1:9">
      <c r="A1530" s="122" t="s">
        <v>1195</v>
      </c>
      <c r="B1530" s="149" t="s">
        <v>1431</v>
      </c>
      <c r="C1530" s="123"/>
    </row>
    <row r="1531" spans="1:9" ht="20.399999999999999">
      <c r="A1531" s="122" t="s">
        <v>76</v>
      </c>
      <c r="B1531" s="290" t="s">
        <v>1432</v>
      </c>
      <c r="C1531" s="150" t="s">
        <v>383</v>
      </c>
      <c r="E1531" s="289" t="s">
        <v>2</v>
      </c>
      <c r="F1531" s="289"/>
      <c r="G1531" s="289"/>
    </row>
    <row r="1532" spans="1:9" ht="20.399999999999999">
      <c r="A1532" s="291" t="s">
        <v>30</v>
      </c>
      <c r="B1532" s="297" t="s">
        <v>19</v>
      </c>
      <c r="C1532" s="295" t="s">
        <v>1419</v>
      </c>
      <c r="D1532" s="293" t="s">
        <v>77</v>
      </c>
      <c r="E1532" s="294" t="s">
        <v>82</v>
      </c>
      <c r="F1532" s="295" t="s">
        <v>83</v>
      </c>
      <c r="G1532" s="296" t="s">
        <v>84</v>
      </c>
    </row>
    <row r="1533" spans="1:9" ht="14.1" customHeight="1">
      <c r="A1533" s="309">
        <v>6117</v>
      </c>
      <c r="B1533" s="297" t="s">
        <v>1433</v>
      </c>
      <c r="C1533" s="295" t="s">
        <v>104</v>
      </c>
      <c r="D1533" s="293" t="s">
        <v>383</v>
      </c>
      <c r="E1533" s="294">
        <v>1.1900000000000001E-2</v>
      </c>
      <c r="F1533" s="298">
        <f>13.74</f>
        <v>13.74</v>
      </c>
      <c r="G1533" s="296">
        <f>TRUNC(E1533*F1533,2)</f>
        <v>0.16</v>
      </c>
    </row>
    <row r="1534" spans="1:9" ht="14.1" customHeight="1">
      <c r="D1534" s="299"/>
      <c r="E1534" s="300"/>
      <c r="F1534" s="301" t="s">
        <v>90</v>
      </c>
      <c r="G1534" s="296">
        <f>G1533</f>
        <v>0.16</v>
      </c>
    </row>
    <row r="1535" spans="1:9" ht="14.1" customHeight="1">
      <c r="D1535" s="299"/>
      <c r="E1535" s="300"/>
      <c r="F1535" s="301" t="s">
        <v>92</v>
      </c>
      <c r="G1535" s="296"/>
    </row>
    <row r="1536" spans="1:9" ht="14.1" customHeight="1">
      <c r="A1536" s="302"/>
      <c r="D1536" s="299"/>
      <c r="E1536" s="300"/>
      <c r="F1536" s="301" t="s">
        <v>93</v>
      </c>
      <c r="G1536" s="303">
        <f>SUM(G1534:G1535)</f>
        <v>0.16</v>
      </c>
      <c r="H1536" s="304"/>
    </row>
    <row r="1537" spans="1:9">
      <c r="A1537" s="305"/>
      <c r="B1537" s="306"/>
      <c r="C1537" s="307"/>
      <c r="D1537" s="308"/>
      <c r="E1537" s="305"/>
      <c r="F1537" s="306"/>
      <c r="G1537" s="306"/>
      <c r="H1537" s="306"/>
      <c r="I1537" s="305"/>
    </row>
    <row r="1539" spans="1:9">
      <c r="A1539" s="122" t="s">
        <v>1194</v>
      </c>
    </row>
    <row r="1540" spans="1:9">
      <c r="A1540" s="122" t="s">
        <v>1195</v>
      </c>
      <c r="B1540" s="149" t="s">
        <v>1434</v>
      </c>
      <c r="C1540" s="123"/>
    </row>
    <row r="1541" spans="1:9" ht="20.399999999999999">
      <c r="A1541" s="122" t="s">
        <v>76</v>
      </c>
      <c r="B1541" s="290" t="s">
        <v>1435</v>
      </c>
      <c r="C1541" s="150" t="s">
        <v>383</v>
      </c>
      <c r="E1541" s="289" t="s">
        <v>2</v>
      </c>
      <c r="F1541" s="289"/>
      <c r="G1541" s="289"/>
    </row>
    <row r="1542" spans="1:9" ht="20.399999999999999">
      <c r="A1542" s="291" t="s">
        <v>30</v>
      </c>
      <c r="B1542" s="297" t="s">
        <v>19</v>
      </c>
      <c r="C1542" s="295" t="s">
        <v>1419</v>
      </c>
      <c r="D1542" s="293" t="s">
        <v>77</v>
      </c>
      <c r="E1542" s="294" t="s">
        <v>82</v>
      </c>
      <c r="F1542" s="295" t="s">
        <v>83</v>
      </c>
      <c r="G1542" s="296" t="s">
        <v>84</v>
      </c>
    </row>
    <row r="1543" spans="1:9" ht="14.1" customHeight="1">
      <c r="A1543" s="309">
        <v>4783</v>
      </c>
      <c r="B1543" s="297" t="s">
        <v>1436</v>
      </c>
      <c r="C1543" s="295" t="s">
        <v>104</v>
      </c>
      <c r="D1543" s="293" t="s">
        <v>383</v>
      </c>
      <c r="E1543" s="294">
        <v>1.1900000000000001E-2</v>
      </c>
      <c r="F1543" s="298">
        <f>14.68</f>
        <v>14.68</v>
      </c>
      <c r="G1543" s="296">
        <f>TRUNC(E1543*F1543,2)</f>
        <v>0.17</v>
      </c>
    </row>
    <row r="1544" spans="1:9" ht="14.1" customHeight="1">
      <c r="D1544" s="299"/>
      <c r="E1544" s="300"/>
      <c r="F1544" s="301" t="s">
        <v>90</v>
      </c>
      <c r="G1544" s="296">
        <f>G1543</f>
        <v>0.17</v>
      </c>
    </row>
    <row r="1545" spans="1:9" ht="14.1" customHeight="1">
      <c r="D1545" s="299"/>
      <c r="E1545" s="300"/>
      <c r="F1545" s="301" t="s">
        <v>92</v>
      </c>
      <c r="G1545" s="296"/>
    </row>
    <row r="1546" spans="1:9" ht="14.1" customHeight="1">
      <c r="A1546" s="302"/>
      <c r="D1546" s="299"/>
      <c r="E1546" s="300"/>
      <c r="F1546" s="301" t="s">
        <v>93</v>
      </c>
      <c r="G1546" s="303">
        <f>SUM(G1544:G1545)</f>
        <v>0.17</v>
      </c>
      <c r="H1546" s="304"/>
    </row>
    <row r="1547" spans="1:9">
      <c r="A1547" s="305"/>
      <c r="B1547" s="306"/>
      <c r="C1547" s="307"/>
      <c r="D1547" s="308"/>
      <c r="E1547" s="305"/>
      <c r="F1547" s="306"/>
      <c r="G1547" s="306"/>
      <c r="H1547" s="306"/>
      <c r="I1547" s="305"/>
    </row>
    <row r="1549" spans="1:9">
      <c r="A1549" s="122" t="s">
        <v>1194</v>
      </c>
    </row>
    <row r="1550" spans="1:9">
      <c r="A1550" s="122" t="s">
        <v>1195</v>
      </c>
      <c r="B1550" s="149" t="s">
        <v>1437</v>
      </c>
      <c r="C1550" s="123"/>
    </row>
    <row r="1551" spans="1:9" ht="20.399999999999999">
      <c r="A1551" s="122" t="s">
        <v>76</v>
      </c>
      <c r="B1551" s="290" t="s">
        <v>1438</v>
      </c>
      <c r="C1551" s="150" t="s">
        <v>383</v>
      </c>
      <c r="E1551" s="289" t="s">
        <v>2</v>
      </c>
      <c r="F1551" s="289"/>
      <c r="G1551" s="289"/>
    </row>
    <row r="1552" spans="1:9" ht="20.399999999999999">
      <c r="A1552" s="291" t="s">
        <v>30</v>
      </c>
      <c r="B1552" s="297" t="s">
        <v>19</v>
      </c>
      <c r="C1552" s="295" t="s">
        <v>1419</v>
      </c>
      <c r="D1552" s="293" t="s">
        <v>77</v>
      </c>
      <c r="E1552" s="294" t="s">
        <v>82</v>
      </c>
      <c r="F1552" s="295" t="s">
        <v>83</v>
      </c>
      <c r="G1552" s="296" t="s">
        <v>84</v>
      </c>
    </row>
    <row r="1553" spans="1:9" ht="14.1" customHeight="1">
      <c r="A1553" s="309">
        <v>247</v>
      </c>
      <c r="B1553" s="297" t="s">
        <v>1439</v>
      </c>
      <c r="C1553" s="295" t="s">
        <v>104</v>
      </c>
      <c r="D1553" s="293" t="s">
        <v>383</v>
      </c>
      <c r="E1553" s="294">
        <v>3.0099999999999998E-2</v>
      </c>
      <c r="F1553" s="298">
        <f>10.66</f>
        <v>10.66</v>
      </c>
      <c r="G1553" s="296">
        <f>TRUNC(E1553*F1553,2)</f>
        <v>0.32</v>
      </c>
    </row>
    <row r="1554" spans="1:9" ht="14.1" customHeight="1">
      <c r="D1554" s="299"/>
      <c r="E1554" s="300"/>
      <c r="F1554" s="301" t="s">
        <v>90</v>
      </c>
      <c r="G1554" s="296">
        <f>G1553</f>
        <v>0.32</v>
      </c>
    </row>
    <row r="1555" spans="1:9" ht="14.1" customHeight="1">
      <c r="D1555" s="299"/>
      <c r="E1555" s="300"/>
      <c r="F1555" s="301" t="s">
        <v>92</v>
      </c>
      <c r="G1555" s="296"/>
    </row>
    <row r="1556" spans="1:9" ht="14.1" customHeight="1">
      <c r="A1556" s="302"/>
      <c r="D1556" s="299"/>
      <c r="E1556" s="300"/>
      <c r="F1556" s="301" t="s">
        <v>93</v>
      </c>
      <c r="G1556" s="303">
        <f>SUM(G1554:G1555)</f>
        <v>0.32</v>
      </c>
      <c r="H1556" s="304"/>
    </row>
    <row r="1557" spans="1:9">
      <c r="A1557" s="305"/>
      <c r="B1557" s="306"/>
      <c r="C1557" s="307"/>
      <c r="D1557" s="308"/>
      <c r="E1557" s="305"/>
      <c r="F1557" s="306"/>
      <c r="G1557" s="306"/>
      <c r="H1557" s="306"/>
      <c r="I1557" s="305"/>
    </row>
    <row r="1559" spans="1:9">
      <c r="A1559" s="122" t="s">
        <v>1194</v>
      </c>
    </row>
    <row r="1560" spans="1:9">
      <c r="A1560" s="122" t="s">
        <v>1195</v>
      </c>
      <c r="B1560" s="149" t="s">
        <v>1440</v>
      </c>
      <c r="C1560" s="123"/>
    </row>
    <row r="1561" spans="1:9" ht="20.399999999999999">
      <c r="A1561" s="122" t="s">
        <v>76</v>
      </c>
      <c r="B1561" s="290" t="s">
        <v>1441</v>
      </c>
      <c r="C1561" s="150" t="s">
        <v>383</v>
      </c>
      <c r="E1561" s="289" t="s">
        <v>2</v>
      </c>
      <c r="F1561" s="289"/>
      <c r="G1561" s="289"/>
    </row>
    <row r="1562" spans="1:9" ht="20.399999999999999">
      <c r="A1562" s="291" t="s">
        <v>30</v>
      </c>
      <c r="B1562" s="297" t="s">
        <v>19</v>
      </c>
      <c r="C1562" s="295" t="s">
        <v>1419</v>
      </c>
      <c r="D1562" s="293" t="s">
        <v>77</v>
      </c>
      <c r="E1562" s="294" t="s">
        <v>82</v>
      </c>
      <c r="F1562" s="295" t="s">
        <v>83</v>
      </c>
      <c r="G1562" s="296" t="s">
        <v>84</v>
      </c>
    </row>
    <row r="1563" spans="1:9" ht="14.1" customHeight="1">
      <c r="A1563" s="309">
        <v>2436</v>
      </c>
      <c r="B1563" s="297" t="s">
        <v>1442</v>
      </c>
      <c r="C1563" s="295" t="s">
        <v>104</v>
      </c>
      <c r="D1563" s="293" t="s">
        <v>383</v>
      </c>
      <c r="E1563" s="294">
        <v>3.0099999999999998E-2</v>
      </c>
      <c r="F1563" s="298">
        <f>15.19</f>
        <v>15.19</v>
      </c>
      <c r="G1563" s="296">
        <f>TRUNC(E1563*F1563,2)</f>
        <v>0.45</v>
      </c>
    </row>
    <row r="1564" spans="1:9" ht="14.1" customHeight="1">
      <c r="D1564" s="299"/>
      <c r="E1564" s="300"/>
      <c r="F1564" s="301" t="s">
        <v>90</v>
      </c>
      <c r="G1564" s="296">
        <f>G1563</f>
        <v>0.45</v>
      </c>
    </row>
    <row r="1565" spans="1:9" ht="14.1" customHeight="1">
      <c r="D1565" s="299"/>
      <c r="E1565" s="300"/>
      <c r="F1565" s="301" t="s">
        <v>92</v>
      </c>
      <c r="G1565" s="296"/>
    </row>
    <row r="1566" spans="1:9" ht="14.1" customHeight="1">
      <c r="A1566" s="302"/>
      <c r="D1566" s="299"/>
      <c r="E1566" s="300"/>
      <c r="F1566" s="301" t="s">
        <v>93</v>
      </c>
      <c r="G1566" s="303">
        <f>SUM(G1564:G1565)</f>
        <v>0.45</v>
      </c>
      <c r="H1566" s="304"/>
    </row>
    <row r="1567" spans="1:9">
      <c r="A1567" s="305"/>
      <c r="B1567" s="306"/>
      <c r="C1567" s="307"/>
      <c r="D1567" s="308"/>
      <c r="E1567" s="305"/>
      <c r="F1567" s="306"/>
      <c r="G1567" s="306"/>
      <c r="H1567" s="306"/>
      <c r="I1567" s="305"/>
    </row>
    <row r="1569" spans="1:9">
      <c r="A1569" s="122" t="s">
        <v>1194</v>
      </c>
    </row>
    <row r="1570" spans="1:9">
      <c r="A1570" s="122" t="s">
        <v>1195</v>
      </c>
      <c r="B1570" s="149" t="s">
        <v>1443</v>
      </c>
      <c r="C1570" s="123"/>
    </row>
    <row r="1571" spans="1:9" ht="27.75" customHeight="1">
      <c r="A1571" s="122" t="s">
        <v>76</v>
      </c>
      <c r="B1571" s="1161" t="s">
        <v>1444</v>
      </c>
      <c r="C1571" s="1161"/>
      <c r="D1571" s="1161"/>
      <c r="E1571" s="318" t="s">
        <v>383</v>
      </c>
      <c r="F1571" s="289"/>
      <c r="G1571" s="289"/>
    </row>
    <row r="1572" spans="1:9" ht="20.399999999999999">
      <c r="A1572" s="291" t="s">
        <v>30</v>
      </c>
      <c r="B1572" s="297" t="s">
        <v>19</v>
      </c>
      <c r="C1572" s="295" t="s">
        <v>1419</v>
      </c>
      <c r="D1572" s="293" t="s">
        <v>77</v>
      </c>
      <c r="E1572" s="294" t="s">
        <v>82</v>
      </c>
      <c r="F1572" s="295" t="s">
        <v>83</v>
      </c>
      <c r="G1572" s="296" t="s">
        <v>84</v>
      </c>
    </row>
    <row r="1573" spans="1:9" ht="14.1" customHeight="1">
      <c r="A1573" s="309">
        <v>246</v>
      </c>
      <c r="B1573" s="297" t="s">
        <v>1445</v>
      </c>
      <c r="C1573" s="295" t="s">
        <v>104</v>
      </c>
      <c r="D1573" s="293" t="s">
        <v>383</v>
      </c>
      <c r="E1573" s="294">
        <v>1.4500000000000001E-2</v>
      </c>
      <c r="F1573" s="298">
        <f>10.75</f>
        <v>10.75</v>
      </c>
      <c r="G1573" s="296">
        <f>TRUNC(E1573*F1573,2)</f>
        <v>0.15</v>
      </c>
    </row>
    <row r="1574" spans="1:9" ht="14.1" customHeight="1">
      <c r="D1574" s="299"/>
      <c r="E1574" s="300"/>
      <c r="F1574" s="301" t="s">
        <v>90</v>
      </c>
      <c r="G1574" s="296">
        <f>G1573</f>
        <v>0.15</v>
      </c>
    </row>
    <row r="1575" spans="1:9" ht="14.1" customHeight="1">
      <c r="D1575" s="299"/>
      <c r="E1575" s="300"/>
      <c r="F1575" s="301" t="s">
        <v>92</v>
      </c>
      <c r="G1575" s="296"/>
    </row>
    <row r="1576" spans="1:9" ht="14.1" customHeight="1">
      <c r="A1576" s="302"/>
      <c r="D1576" s="299"/>
      <c r="E1576" s="300"/>
      <c r="F1576" s="301" t="s">
        <v>93</v>
      </c>
      <c r="G1576" s="303">
        <f>SUM(G1574:G1575)</f>
        <v>0.15</v>
      </c>
      <c r="H1576" s="304"/>
    </row>
    <row r="1577" spans="1:9">
      <c r="A1577" s="305"/>
      <c r="B1577" s="306"/>
      <c r="C1577" s="307"/>
      <c r="D1577" s="308"/>
      <c r="E1577" s="305"/>
      <c r="F1577" s="306"/>
      <c r="G1577" s="306"/>
      <c r="H1577" s="306"/>
      <c r="I1577" s="305"/>
    </row>
    <row r="1579" spans="1:9">
      <c r="A1579" s="122" t="s">
        <v>1194</v>
      </c>
    </row>
    <row r="1580" spans="1:9">
      <c r="A1580" s="122" t="s">
        <v>1195</v>
      </c>
      <c r="B1580" s="149" t="s">
        <v>1446</v>
      </c>
      <c r="C1580" s="123"/>
    </row>
    <row r="1581" spans="1:9" ht="26.25" customHeight="1">
      <c r="A1581" s="122" t="s">
        <v>76</v>
      </c>
      <c r="B1581" s="1161" t="s">
        <v>1447</v>
      </c>
      <c r="C1581" s="1161"/>
      <c r="D1581" s="150" t="s">
        <v>383</v>
      </c>
      <c r="E1581" s="289" t="s">
        <v>2</v>
      </c>
      <c r="F1581" s="289"/>
      <c r="G1581" s="289"/>
    </row>
    <row r="1582" spans="1:9" ht="20.399999999999999">
      <c r="A1582" s="291" t="s">
        <v>30</v>
      </c>
      <c r="B1582" s="297" t="s">
        <v>19</v>
      </c>
      <c r="C1582" s="295" t="s">
        <v>1419</v>
      </c>
      <c r="D1582" s="293" t="s">
        <v>77</v>
      </c>
      <c r="E1582" s="294" t="s">
        <v>82</v>
      </c>
      <c r="F1582" s="295" t="s">
        <v>83</v>
      </c>
      <c r="G1582" s="296" t="s">
        <v>84</v>
      </c>
    </row>
    <row r="1583" spans="1:9" ht="14.1" customHeight="1">
      <c r="A1583" s="309">
        <v>2696</v>
      </c>
      <c r="B1583" s="297" t="s">
        <v>1448</v>
      </c>
      <c r="C1583" s="295" t="s">
        <v>104</v>
      </c>
      <c r="D1583" s="293" t="s">
        <v>383</v>
      </c>
      <c r="E1583" s="294">
        <v>1.4500000000000001E-2</v>
      </c>
      <c r="F1583" s="298">
        <f>15.19</f>
        <v>15.19</v>
      </c>
      <c r="G1583" s="296">
        <f>TRUNC(E1583*F1583,2)</f>
        <v>0.22</v>
      </c>
    </row>
    <row r="1584" spans="1:9" ht="14.1" customHeight="1">
      <c r="D1584" s="299"/>
      <c r="E1584" s="300"/>
      <c r="F1584" s="301" t="s">
        <v>90</v>
      </c>
      <c r="G1584" s="296">
        <f>G1583</f>
        <v>0.22</v>
      </c>
    </row>
    <row r="1585" spans="1:9" ht="14.1" customHeight="1">
      <c r="D1585" s="299"/>
      <c r="E1585" s="300"/>
      <c r="F1585" s="301" t="s">
        <v>92</v>
      </c>
      <c r="G1585" s="296"/>
    </row>
    <row r="1586" spans="1:9" ht="14.1" customHeight="1">
      <c r="A1586" s="302"/>
      <c r="D1586" s="299"/>
      <c r="E1586" s="300"/>
      <c r="F1586" s="301" t="s">
        <v>93</v>
      </c>
      <c r="G1586" s="303">
        <f>SUM(G1584:G1585)</f>
        <v>0.22</v>
      </c>
      <c r="H1586" s="304"/>
    </row>
    <row r="1587" spans="1:9">
      <c r="A1587" s="305"/>
      <c r="B1587" s="306"/>
      <c r="C1587" s="307"/>
      <c r="D1587" s="308"/>
      <c r="E1587" s="305"/>
      <c r="F1587" s="306"/>
      <c r="G1587" s="306"/>
      <c r="H1587" s="306"/>
      <c r="I1587" s="305"/>
    </row>
    <row r="1589" spans="1:9">
      <c r="A1589" s="122" t="s">
        <v>1194</v>
      </c>
      <c r="C1589" s="124"/>
      <c r="D1589" s="122"/>
      <c r="E1589" s="128"/>
      <c r="H1589" s="122"/>
    </row>
    <row r="1590" spans="1:9">
      <c r="A1590" s="122" t="s">
        <v>1676</v>
      </c>
      <c r="C1590" s="124"/>
      <c r="D1590" s="122"/>
      <c r="E1590" s="128"/>
      <c r="H1590" s="122"/>
    </row>
    <row r="1591" spans="1:9" ht="26.25" customHeight="1">
      <c r="A1591" s="352" t="s">
        <v>1450</v>
      </c>
      <c r="B1591" s="1161" t="s">
        <v>1662</v>
      </c>
      <c r="C1591" s="1161"/>
      <c r="D1591" s="353" t="s">
        <v>391</v>
      </c>
      <c r="G1591" s="353"/>
      <c r="H1591" s="122"/>
    </row>
    <row r="1592" spans="1:9" ht="20.399999999999999">
      <c r="A1592" s="309" t="s">
        <v>30</v>
      </c>
      <c r="B1592" s="354" t="s">
        <v>19</v>
      </c>
      <c r="C1592" s="293" t="s">
        <v>81</v>
      </c>
      <c r="D1592" s="294" t="s">
        <v>77</v>
      </c>
      <c r="E1592" s="294" t="s">
        <v>82</v>
      </c>
      <c r="F1592" s="295" t="s">
        <v>83</v>
      </c>
      <c r="G1592" s="355" t="s">
        <v>84</v>
      </c>
      <c r="H1592" s="122"/>
    </row>
    <row r="1593" spans="1:9" ht="18" customHeight="1">
      <c r="A1593" s="1141">
        <v>88248</v>
      </c>
      <c r="B1593" s="1129" t="s">
        <v>307</v>
      </c>
      <c r="C1593" s="293" t="s">
        <v>104</v>
      </c>
      <c r="D1593" s="1131" t="s">
        <v>383</v>
      </c>
      <c r="E1593" s="1165">
        <v>7.0000000000000007E-2</v>
      </c>
      <c r="F1593" s="825">
        <f>G321</f>
        <v>10.98</v>
      </c>
      <c r="G1593" s="358">
        <f>E1593*F1593</f>
        <v>0.76860000000000006</v>
      </c>
      <c r="H1593" s="122"/>
    </row>
    <row r="1594" spans="1:9" ht="18" customHeight="1">
      <c r="A1594" s="1142"/>
      <c r="B1594" s="1130"/>
      <c r="C1594" s="293" t="s">
        <v>87</v>
      </c>
      <c r="D1594" s="1131"/>
      <c r="E1594" s="1166"/>
      <c r="F1594" s="825">
        <f>G322</f>
        <v>4.4000000000000004</v>
      </c>
      <c r="G1594" s="358">
        <f>E1593*F1594</f>
        <v>0.30800000000000005</v>
      </c>
      <c r="H1594" s="122"/>
    </row>
    <row r="1595" spans="1:9" ht="18" customHeight="1">
      <c r="A1595" s="1141">
        <v>88267</v>
      </c>
      <c r="B1595" s="1129" t="s">
        <v>271</v>
      </c>
      <c r="C1595" s="293" t="s">
        <v>104</v>
      </c>
      <c r="D1595" s="1131" t="s">
        <v>383</v>
      </c>
      <c r="E1595" s="1165">
        <v>0.44900000000000001</v>
      </c>
      <c r="F1595" s="298">
        <f>G338</f>
        <v>15.5</v>
      </c>
      <c r="G1595" s="312">
        <f>TRUNC(E1595*F1595,2)</f>
        <v>6.95</v>
      </c>
      <c r="H1595" s="122"/>
    </row>
    <row r="1596" spans="1:9" ht="18" customHeight="1">
      <c r="A1596" s="1142"/>
      <c r="B1596" s="1130"/>
      <c r="C1596" s="293" t="s">
        <v>87</v>
      </c>
      <c r="D1596" s="1131"/>
      <c r="E1596" s="1166"/>
      <c r="F1596" s="298">
        <f>G339</f>
        <v>4.4000000000000004</v>
      </c>
      <c r="G1596" s="312">
        <f>TRUNC(E1595*F1596,2)</f>
        <v>1.97</v>
      </c>
      <c r="H1596" s="122"/>
    </row>
    <row r="1597" spans="1:9" ht="15" customHeight="1">
      <c r="C1597" s="124"/>
      <c r="D1597" s="300"/>
      <c r="E1597" s="359"/>
      <c r="F1597" s="360" t="s">
        <v>90</v>
      </c>
      <c r="G1597" s="322">
        <f>G1593+G1595</f>
        <v>7.7186000000000003</v>
      </c>
      <c r="H1597" s="122"/>
    </row>
    <row r="1598" spans="1:9" ht="15" customHeight="1">
      <c r="C1598" s="124"/>
      <c r="D1598" s="300"/>
      <c r="E1598" s="361"/>
      <c r="F1598" s="301" t="s">
        <v>92</v>
      </c>
      <c r="G1598" s="312">
        <f>G1594+G1596</f>
        <v>2.278</v>
      </c>
      <c r="H1598" s="122"/>
    </row>
    <row r="1599" spans="1:9" ht="15" customHeight="1">
      <c r="C1599" s="124"/>
      <c r="D1599" s="300"/>
      <c r="E1599" s="361"/>
      <c r="F1599" s="301" t="s">
        <v>93</v>
      </c>
      <c r="G1599" s="820">
        <f>SUM(G1597:G1598)</f>
        <v>9.9966000000000008</v>
      </c>
      <c r="H1599" s="122"/>
    </row>
    <row r="1600" spans="1:9">
      <c r="A1600" s="362"/>
      <c r="B1600" s="363"/>
      <c r="C1600" s="364"/>
      <c r="D1600" s="362"/>
      <c r="E1600" s="363"/>
      <c r="F1600" s="363"/>
      <c r="G1600" s="363"/>
      <c r="H1600" s="362"/>
    </row>
    <row r="1602" spans="1:8">
      <c r="A1602" s="122" t="s">
        <v>1194</v>
      </c>
      <c r="C1602" s="124"/>
      <c r="D1602" s="122"/>
      <c r="E1602" s="128"/>
      <c r="H1602" s="122"/>
    </row>
    <row r="1603" spans="1:8">
      <c r="A1603" s="122" t="s">
        <v>1596</v>
      </c>
      <c r="C1603" s="124"/>
      <c r="D1603" s="122"/>
      <c r="E1603" s="128"/>
      <c r="H1603" s="122"/>
    </row>
    <row r="1604" spans="1:8" ht="21" customHeight="1">
      <c r="A1604" s="352" t="s">
        <v>1450</v>
      </c>
      <c r="B1604" s="1161" t="s">
        <v>1597</v>
      </c>
      <c r="C1604" s="1161"/>
      <c r="D1604" s="1161"/>
      <c r="E1604" s="353" t="s">
        <v>391</v>
      </c>
      <c r="G1604" s="353"/>
      <c r="H1604" s="122"/>
    </row>
    <row r="1605" spans="1:8" ht="20.399999999999999">
      <c r="A1605" s="309" t="s">
        <v>30</v>
      </c>
      <c r="B1605" s="354" t="s">
        <v>19</v>
      </c>
      <c r="C1605" s="293" t="s">
        <v>81</v>
      </c>
      <c r="D1605" s="294" t="s">
        <v>77</v>
      </c>
      <c r="E1605" s="294" t="s">
        <v>82</v>
      </c>
      <c r="F1605" s="295" t="s">
        <v>83</v>
      </c>
      <c r="G1605" s="355" t="s">
        <v>84</v>
      </c>
      <c r="H1605" s="122"/>
    </row>
    <row r="1606" spans="1:8" ht="14.1" customHeight="1">
      <c r="A1606" s="1141">
        <v>88247</v>
      </c>
      <c r="B1606" s="1129" t="s">
        <v>1038</v>
      </c>
      <c r="C1606" s="293" t="s">
        <v>104</v>
      </c>
      <c r="D1606" s="1131" t="s">
        <v>383</v>
      </c>
      <c r="E1606" s="1165">
        <v>3.4000000000000002E-2</v>
      </c>
      <c r="F1606" s="298">
        <f>G287</f>
        <v>10.98</v>
      </c>
      <c r="G1606" s="358">
        <f>E1606*F1606</f>
        <v>0.37332000000000004</v>
      </c>
      <c r="H1606" s="122"/>
    </row>
    <row r="1607" spans="1:8" ht="14.1" customHeight="1">
      <c r="A1607" s="1142"/>
      <c r="B1607" s="1130"/>
      <c r="C1607" s="293" t="s">
        <v>87</v>
      </c>
      <c r="D1607" s="1131"/>
      <c r="E1607" s="1166"/>
      <c r="F1607" s="298">
        <f>G288</f>
        <v>4.75</v>
      </c>
      <c r="G1607" s="358">
        <f>E1606*F1607</f>
        <v>0.1615</v>
      </c>
      <c r="H1607" s="122"/>
    </row>
    <row r="1608" spans="1:8" ht="14.1" customHeight="1">
      <c r="A1608" s="1141">
        <v>88264</v>
      </c>
      <c r="B1608" s="1129" t="s">
        <v>279</v>
      </c>
      <c r="C1608" s="293" t="s">
        <v>104</v>
      </c>
      <c r="D1608" s="1131" t="s">
        <v>383</v>
      </c>
      <c r="E1608" s="1165">
        <v>0.216</v>
      </c>
      <c r="F1608" s="298">
        <f>G253</f>
        <v>15.71</v>
      </c>
      <c r="G1608" s="312">
        <f>TRUNC(E1608*F1608,2)</f>
        <v>3.39</v>
      </c>
      <c r="H1608" s="122"/>
    </row>
    <row r="1609" spans="1:8" ht="14.1" customHeight="1">
      <c r="A1609" s="1142"/>
      <c r="B1609" s="1130"/>
      <c r="C1609" s="293" t="s">
        <v>87</v>
      </c>
      <c r="D1609" s="1131"/>
      <c r="E1609" s="1166"/>
      <c r="F1609" s="298">
        <f>G254</f>
        <v>4.8099999999999996</v>
      </c>
      <c r="G1609" s="312">
        <f>TRUNC(E1608*F1609,2)</f>
        <v>1.03</v>
      </c>
      <c r="H1609" s="122"/>
    </row>
    <row r="1610" spans="1:8" ht="14.1" customHeight="1">
      <c r="C1610" s="124"/>
      <c r="D1610" s="300"/>
      <c r="E1610" s="359"/>
      <c r="F1610" s="360" t="s">
        <v>90</v>
      </c>
      <c r="G1610" s="322">
        <f>G1606+G1608</f>
        <v>3.7633200000000002</v>
      </c>
      <c r="H1610" s="122"/>
    </row>
    <row r="1611" spans="1:8" ht="14.1" customHeight="1">
      <c r="C1611" s="124"/>
      <c r="D1611" s="300"/>
      <c r="E1611" s="361"/>
      <c r="F1611" s="301" t="s">
        <v>92</v>
      </c>
      <c r="G1611" s="312">
        <f>G1607+G1609</f>
        <v>1.1915</v>
      </c>
      <c r="H1611" s="122"/>
    </row>
    <row r="1612" spans="1:8" ht="14.1" customHeight="1">
      <c r="C1612" s="124"/>
      <c r="D1612" s="300"/>
      <c r="E1612" s="361"/>
      <c r="F1612" s="301" t="s">
        <v>93</v>
      </c>
      <c r="G1612" s="820">
        <f>SUM(G1610:G1611)</f>
        <v>4.9548199999999998</v>
      </c>
      <c r="H1612" s="122"/>
    </row>
    <row r="1613" spans="1:8">
      <c r="A1613" s="362"/>
      <c r="B1613" s="363"/>
      <c r="C1613" s="364"/>
      <c r="D1613" s="362"/>
      <c r="E1613" s="363"/>
      <c r="F1613" s="363"/>
      <c r="G1613" s="363"/>
      <c r="H1613" s="362"/>
    </row>
    <row r="1615" spans="1:8">
      <c r="A1615" s="122" t="s">
        <v>1194</v>
      </c>
      <c r="C1615" s="124"/>
      <c r="D1615" s="122"/>
      <c r="E1615" s="128"/>
      <c r="H1615" s="122"/>
    </row>
    <row r="1616" spans="1:8">
      <c r="A1616" s="122" t="s">
        <v>1598</v>
      </c>
      <c r="C1616" s="124"/>
      <c r="D1616" s="122"/>
      <c r="E1616" s="128"/>
      <c r="H1616" s="122"/>
    </row>
    <row r="1617" spans="1:8" ht="20.399999999999999">
      <c r="A1617" s="352" t="s">
        <v>1450</v>
      </c>
      <c r="B1617" s="352" t="s">
        <v>1525</v>
      </c>
      <c r="C1617" s="353" t="s">
        <v>1452</v>
      </c>
      <c r="D1617" s="352"/>
      <c r="G1617" s="353"/>
      <c r="H1617" s="122"/>
    </row>
    <row r="1618" spans="1:8" ht="20.399999999999999">
      <c r="A1618" s="309" t="s">
        <v>30</v>
      </c>
      <c r="B1618" s="354" t="s">
        <v>19</v>
      </c>
      <c r="C1618" s="293" t="s">
        <v>81</v>
      </c>
      <c r="D1618" s="294" t="s">
        <v>77</v>
      </c>
      <c r="E1618" s="294" t="s">
        <v>82</v>
      </c>
      <c r="F1618" s="295" t="s">
        <v>83</v>
      </c>
      <c r="G1618" s="355" t="s">
        <v>84</v>
      </c>
      <c r="H1618" s="122"/>
    </row>
    <row r="1619" spans="1:8" ht="14.1" customHeight="1">
      <c r="A1619" s="1141">
        <v>88248</v>
      </c>
      <c r="B1619" s="1129" t="s">
        <v>307</v>
      </c>
      <c r="C1619" s="293" t="s">
        <v>104</v>
      </c>
      <c r="D1619" s="1131" t="s">
        <v>383</v>
      </c>
      <c r="E1619" s="1165">
        <v>2.3E-2</v>
      </c>
      <c r="F1619" s="298">
        <f>G287</f>
        <v>10.98</v>
      </c>
      <c r="G1619" s="358">
        <f>TRUNC(E1619*F1619,2)</f>
        <v>0.25</v>
      </c>
      <c r="H1619" s="122"/>
    </row>
    <row r="1620" spans="1:8" ht="14.1" customHeight="1">
      <c r="A1620" s="1142"/>
      <c r="B1620" s="1130"/>
      <c r="C1620" s="293" t="s">
        <v>87</v>
      </c>
      <c r="D1620" s="1131"/>
      <c r="E1620" s="1166"/>
      <c r="F1620" s="298">
        <f>G288</f>
        <v>4.75</v>
      </c>
      <c r="G1620" s="312">
        <f>TRUNC(E1619*F1620,2)</f>
        <v>0.1</v>
      </c>
      <c r="H1620" s="122"/>
    </row>
    <row r="1621" spans="1:8" ht="14.1" customHeight="1">
      <c r="A1621" s="1141">
        <v>88267</v>
      </c>
      <c r="B1621" s="1129" t="s">
        <v>271</v>
      </c>
      <c r="C1621" s="293" t="s">
        <v>104</v>
      </c>
      <c r="D1621" s="1131" t="s">
        <v>383</v>
      </c>
      <c r="E1621" s="1165">
        <v>0.14399999999999999</v>
      </c>
      <c r="F1621" s="298">
        <f>G253</f>
        <v>15.71</v>
      </c>
      <c r="G1621" s="312">
        <f>TRUNC(E1621*F1621,2)</f>
        <v>2.2599999999999998</v>
      </c>
      <c r="H1621" s="122"/>
    </row>
    <row r="1622" spans="1:8" ht="14.1" customHeight="1">
      <c r="A1622" s="1142"/>
      <c r="B1622" s="1130"/>
      <c r="C1622" s="293" t="s">
        <v>87</v>
      </c>
      <c r="D1622" s="1131"/>
      <c r="E1622" s="1166"/>
      <c r="F1622" s="298">
        <f>G254</f>
        <v>4.8099999999999996</v>
      </c>
      <c r="G1622" s="312">
        <f>TRUNC(E1621*F1622,2)</f>
        <v>0.69</v>
      </c>
      <c r="H1622" s="122"/>
    </row>
    <row r="1623" spans="1:8" ht="14.1" customHeight="1">
      <c r="C1623" s="124"/>
      <c r="D1623" s="300"/>
      <c r="E1623" s="359"/>
      <c r="F1623" s="360" t="s">
        <v>90</v>
      </c>
      <c r="G1623" s="322">
        <f>G1619+G1621</f>
        <v>2.5099999999999998</v>
      </c>
      <c r="H1623" s="122"/>
    </row>
    <row r="1624" spans="1:8" ht="14.1" customHeight="1">
      <c r="C1624" s="124"/>
      <c r="D1624" s="300"/>
      <c r="E1624" s="361"/>
      <c r="F1624" s="301" t="s">
        <v>92</v>
      </c>
      <c r="G1624" s="312">
        <f>G1620+G1622</f>
        <v>0.78999999999999992</v>
      </c>
      <c r="H1624" s="122"/>
    </row>
    <row r="1625" spans="1:8" ht="14.1" customHeight="1">
      <c r="C1625" s="124"/>
      <c r="D1625" s="300"/>
      <c r="E1625" s="361"/>
      <c r="F1625" s="301" t="s">
        <v>93</v>
      </c>
      <c r="G1625" s="313">
        <f>SUM(G1623:G1624)</f>
        <v>3.3</v>
      </c>
      <c r="H1625" s="122"/>
    </row>
    <row r="1626" spans="1:8">
      <c r="A1626" s="362"/>
      <c r="B1626" s="363"/>
      <c r="C1626" s="364"/>
      <c r="D1626" s="362"/>
      <c r="E1626" s="363"/>
      <c r="F1626" s="363"/>
      <c r="G1626" s="363"/>
      <c r="H1626" s="362"/>
    </row>
    <row r="1628" spans="1:8">
      <c r="A1628" s="122" t="s">
        <v>1194</v>
      </c>
      <c r="C1628" s="124"/>
      <c r="D1628" s="122"/>
      <c r="E1628" s="128"/>
      <c r="H1628" s="122"/>
    </row>
    <row r="1629" spans="1:8">
      <c r="A1629" s="122" t="s">
        <v>1599</v>
      </c>
      <c r="C1629" s="124"/>
      <c r="D1629" s="122"/>
      <c r="E1629" s="128"/>
      <c r="H1629" s="122"/>
    </row>
    <row r="1630" spans="1:8" ht="22.5" customHeight="1">
      <c r="A1630" s="352" t="s">
        <v>1450</v>
      </c>
      <c r="B1630" s="1161" t="s">
        <v>1526</v>
      </c>
      <c r="C1630" s="1161"/>
      <c r="D1630" s="1161"/>
      <c r="E1630" s="490" t="s">
        <v>391</v>
      </c>
      <c r="G1630" s="353"/>
      <c r="H1630" s="122"/>
    </row>
    <row r="1631" spans="1:8" ht="20.399999999999999">
      <c r="A1631" s="309" t="s">
        <v>30</v>
      </c>
      <c r="B1631" s="354" t="s">
        <v>19</v>
      </c>
      <c r="C1631" s="293" t="s">
        <v>81</v>
      </c>
      <c r="D1631" s="294" t="s">
        <v>77</v>
      </c>
      <c r="E1631" s="294" t="s">
        <v>82</v>
      </c>
      <c r="F1631" s="295" t="s">
        <v>83</v>
      </c>
      <c r="G1631" s="355" t="s">
        <v>84</v>
      </c>
      <c r="H1631" s="122"/>
    </row>
    <row r="1632" spans="1:8" ht="15" customHeight="1">
      <c r="A1632" s="1141">
        <v>88248</v>
      </c>
      <c r="B1632" s="1129" t="s">
        <v>307</v>
      </c>
      <c r="C1632" s="293" t="s">
        <v>104</v>
      </c>
      <c r="D1632" s="1131" t="s">
        <v>383</v>
      </c>
      <c r="E1632" s="1165">
        <v>5.5E-2</v>
      </c>
      <c r="F1632" s="298">
        <f>G321</f>
        <v>10.98</v>
      </c>
      <c r="G1632" s="358">
        <f>TRUNC(E1632*F1632,2)</f>
        <v>0.6</v>
      </c>
      <c r="H1632" s="122"/>
    </row>
    <row r="1633" spans="1:8" ht="15" customHeight="1">
      <c r="A1633" s="1142"/>
      <c r="B1633" s="1130"/>
      <c r="C1633" s="293" t="s">
        <v>87</v>
      </c>
      <c r="D1633" s="1131"/>
      <c r="E1633" s="1166"/>
      <c r="F1633" s="298">
        <f>G322</f>
        <v>4.4000000000000004</v>
      </c>
      <c r="G1633" s="312">
        <f>TRUNC(E1632*F1633,2)</f>
        <v>0.24</v>
      </c>
      <c r="H1633" s="122"/>
    </row>
    <row r="1634" spans="1:8" ht="15" customHeight="1">
      <c r="A1634" s="1141">
        <v>88267</v>
      </c>
      <c r="B1634" s="1129" t="s">
        <v>271</v>
      </c>
      <c r="C1634" s="293" t="s">
        <v>104</v>
      </c>
      <c r="D1634" s="1131" t="s">
        <v>383</v>
      </c>
      <c r="E1634" s="1165">
        <v>0.39100000000000001</v>
      </c>
      <c r="F1634" s="298">
        <f>G338</f>
        <v>15.5</v>
      </c>
      <c r="G1634" s="312">
        <f>TRUNC(E1634*F1634,2)</f>
        <v>6.06</v>
      </c>
      <c r="H1634" s="122"/>
    </row>
    <row r="1635" spans="1:8" ht="15" customHeight="1">
      <c r="A1635" s="1142"/>
      <c r="B1635" s="1130"/>
      <c r="C1635" s="293" t="s">
        <v>87</v>
      </c>
      <c r="D1635" s="1131"/>
      <c r="E1635" s="1166"/>
      <c r="F1635" s="298">
        <f>G339</f>
        <v>4.4000000000000004</v>
      </c>
      <c r="G1635" s="312">
        <f>TRUNC(E1634*F1635,2)</f>
        <v>1.72</v>
      </c>
      <c r="H1635" s="122"/>
    </row>
    <row r="1636" spans="1:8" ht="15" customHeight="1">
      <c r="A1636" s="1141">
        <v>88629</v>
      </c>
      <c r="B1636" s="1129" t="s">
        <v>1600</v>
      </c>
      <c r="C1636" s="293" t="s">
        <v>104</v>
      </c>
      <c r="D1636" s="1153" t="s">
        <v>1316</v>
      </c>
      <c r="E1636" s="1165">
        <v>3.0000000000000001E-3</v>
      </c>
      <c r="F1636" s="298">
        <f>G1651</f>
        <v>94.8</v>
      </c>
      <c r="G1636" s="312">
        <f>TRUNC(E1636*F1636,2)</f>
        <v>0.28000000000000003</v>
      </c>
      <c r="H1636" s="122"/>
    </row>
    <row r="1637" spans="1:8" ht="15" customHeight="1">
      <c r="A1637" s="1142"/>
      <c r="B1637" s="1130"/>
      <c r="C1637" s="293" t="s">
        <v>87</v>
      </c>
      <c r="D1637" s="1154"/>
      <c r="E1637" s="1166"/>
      <c r="F1637" s="298">
        <f>G1652</f>
        <v>321.12</v>
      </c>
      <c r="G1637" s="312">
        <f t="shared" ref="G1637" si="76">TRUNC(E1636*F1637,2)</f>
        <v>0.96</v>
      </c>
      <c r="H1637" s="122"/>
    </row>
    <row r="1638" spans="1:8" ht="15" customHeight="1">
      <c r="C1638" s="124"/>
      <c r="D1638" s="300"/>
      <c r="E1638" s="359"/>
      <c r="F1638" s="360" t="s">
        <v>90</v>
      </c>
      <c r="G1638" s="322">
        <f>G1632+G1634+G1636</f>
        <v>6.9399999999999995</v>
      </c>
      <c r="H1638" s="122"/>
    </row>
    <row r="1639" spans="1:8" ht="15" customHeight="1">
      <c r="C1639" s="124"/>
      <c r="D1639" s="300"/>
      <c r="E1639" s="361"/>
      <c r="F1639" s="301" t="s">
        <v>92</v>
      </c>
      <c r="G1639" s="312">
        <f>G1633+G1635+G1637</f>
        <v>2.92</v>
      </c>
      <c r="H1639" s="122"/>
    </row>
    <row r="1640" spans="1:8" ht="15" customHeight="1">
      <c r="C1640" s="124"/>
      <c r="D1640" s="300"/>
      <c r="E1640" s="361"/>
      <c r="F1640" s="301" t="s">
        <v>93</v>
      </c>
      <c r="G1640" s="313">
        <f>SUM(G1638:G1639)</f>
        <v>9.86</v>
      </c>
      <c r="H1640" s="122"/>
    </row>
    <row r="1641" spans="1:8">
      <c r="A1641" s="362"/>
      <c r="B1641" s="363"/>
      <c r="C1641" s="364"/>
      <c r="D1641" s="362"/>
      <c r="E1641" s="363"/>
      <c r="F1641" s="363"/>
      <c r="G1641" s="363"/>
      <c r="H1641" s="362"/>
    </row>
    <row r="1643" spans="1:8">
      <c r="A1643" s="122" t="s">
        <v>1194</v>
      </c>
      <c r="C1643" s="124"/>
      <c r="D1643" s="122"/>
      <c r="E1643" s="128"/>
      <c r="H1643" s="122"/>
    </row>
    <row r="1644" spans="1:8">
      <c r="A1644" s="148" t="s">
        <v>1601</v>
      </c>
      <c r="C1644" s="124"/>
      <c r="D1644" s="122"/>
      <c r="E1644" s="128"/>
      <c r="H1644" s="122"/>
    </row>
    <row r="1645" spans="1:8" ht="15.75" customHeight="1">
      <c r="A1645" s="352" t="s">
        <v>1450</v>
      </c>
      <c r="B1645" s="1161" t="s">
        <v>1602</v>
      </c>
      <c r="C1645" s="1161"/>
      <c r="D1645" s="1161"/>
      <c r="E1645" s="353" t="s">
        <v>1316</v>
      </c>
      <c r="G1645" s="353"/>
      <c r="H1645" s="122"/>
    </row>
    <row r="1646" spans="1:8" ht="20.399999999999999">
      <c r="A1646" s="309" t="s">
        <v>30</v>
      </c>
      <c r="B1646" s="354" t="s">
        <v>19</v>
      </c>
      <c r="C1646" s="293" t="s">
        <v>81</v>
      </c>
      <c r="D1646" s="294" t="s">
        <v>77</v>
      </c>
      <c r="E1646" s="294" t="s">
        <v>82</v>
      </c>
      <c r="F1646" s="295" t="s">
        <v>83</v>
      </c>
      <c r="G1646" s="355" t="s">
        <v>84</v>
      </c>
      <c r="H1646" s="122"/>
    </row>
    <row r="1647" spans="1:8" ht="15" customHeight="1">
      <c r="A1647" s="1141">
        <v>88262</v>
      </c>
      <c r="B1647" s="1129" t="s">
        <v>1603</v>
      </c>
      <c r="C1647" s="293" t="s">
        <v>104</v>
      </c>
      <c r="D1647" s="1131" t="s">
        <v>105</v>
      </c>
      <c r="E1647" s="1165">
        <v>8.48</v>
      </c>
      <c r="F1647" s="298">
        <f>G104</f>
        <v>11.18</v>
      </c>
      <c r="G1647" s="358">
        <f>TRUNC(E1647*F1647,2)</f>
        <v>94.8</v>
      </c>
      <c r="H1647" s="122"/>
    </row>
    <row r="1648" spans="1:8" ht="15" customHeight="1">
      <c r="A1648" s="1142"/>
      <c r="B1648" s="1130"/>
      <c r="C1648" s="293" t="s">
        <v>87</v>
      </c>
      <c r="D1648" s="1131"/>
      <c r="E1648" s="1166"/>
      <c r="F1648" s="298">
        <f>G105</f>
        <v>4.7300000000000004</v>
      </c>
      <c r="G1648" s="358">
        <f>TRUNC(E1647*F1648,2)</f>
        <v>40.11</v>
      </c>
      <c r="H1648" s="122"/>
    </row>
    <row r="1649" spans="1:8" ht="25.5" customHeight="1">
      <c r="A1649" s="309" t="s">
        <v>1317</v>
      </c>
      <c r="B1649" s="498" t="s">
        <v>1318</v>
      </c>
      <c r="C1649" s="293" t="s">
        <v>87</v>
      </c>
      <c r="D1649" s="294" t="s">
        <v>1316</v>
      </c>
      <c r="E1649" s="294">
        <v>1.1499999999999999</v>
      </c>
      <c r="F1649" s="294">
        <v>56.25</v>
      </c>
      <c r="G1649" s="358">
        <f t="shared" ref="G1649" si="77">TRUNC(E1649*F1649,2)</f>
        <v>64.680000000000007</v>
      </c>
      <c r="H1649" s="122"/>
    </row>
    <row r="1650" spans="1:8" ht="15" customHeight="1">
      <c r="A1650" s="309" t="s">
        <v>1042</v>
      </c>
      <c r="B1650" s="499" t="s">
        <v>1043</v>
      </c>
      <c r="C1650" s="293" t="s">
        <v>87</v>
      </c>
      <c r="D1650" s="294" t="s">
        <v>1319</v>
      </c>
      <c r="E1650" s="294">
        <v>441.51</v>
      </c>
      <c r="F1650" s="294">
        <v>0.49</v>
      </c>
      <c r="G1650" s="296">
        <f>TRUNC(E1650*F1650,2)</f>
        <v>216.33</v>
      </c>
      <c r="H1650" s="122"/>
    </row>
    <row r="1651" spans="1:8" ht="15" customHeight="1">
      <c r="C1651" s="124"/>
      <c r="D1651" s="122"/>
      <c r="E1651" s="359"/>
      <c r="F1651" s="360" t="s">
        <v>90</v>
      </c>
      <c r="G1651" s="322">
        <f>G1647</f>
        <v>94.8</v>
      </c>
      <c r="H1651" s="122"/>
    </row>
    <row r="1652" spans="1:8" ht="15" customHeight="1">
      <c r="C1652" s="124"/>
      <c r="D1652" s="122"/>
      <c r="E1652" s="361"/>
      <c r="F1652" s="301" t="s">
        <v>92</v>
      </c>
      <c r="G1652" s="312">
        <f>G1648+G1649+G1650</f>
        <v>321.12</v>
      </c>
      <c r="H1652" s="122"/>
    </row>
    <row r="1653" spans="1:8" ht="15" customHeight="1">
      <c r="C1653" s="124"/>
      <c r="D1653" s="122"/>
      <c r="E1653" s="361"/>
      <c r="F1653" s="301" t="s">
        <v>93</v>
      </c>
      <c r="G1653" s="313">
        <f>SUM(G1651:G1652)</f>
        <v>415.92</v>
      </c>
      <c r="H1653" s="122"/>
    </row>
    <row r="1654" spans="1:8">
      <c r="A1654" s="362"/>
      <c r="B1654" s="363"/>
      <c r="C1654" s="364"/>
      <c r="D1654" s="362"/>
      <c r="E1654" s="363"/>
      <c r="F1654" s="363"/>
      <c r="G1654" s="363"/>
      <c r="H1654" s="362"/>
    </row>
    <row r="1656" spans="1:8">
      <c r="A1656" s="826" t="s">
        <v>2709</v>
      </c>
      <c r="C1656" s="124"/>
      <c r="D1656" s="122"/>
      <c r="E1656" s="128"/>
      <c r="H1656" s="122"/>
    </row>
    <row r="1657" spans="1:8">
      <c r="A1657" s="148" t="s">
        <v>2212</v>
      </c>
      <c r="C1657" s="124"/>
      <c r="D1657" s="122"/>
      <c r="E1657" s="128"/>
      <c r="H1657" s="122"/>
    </row>
    <row r="1658" spans="1:8" ht="35.25" customHeight="1">
      <c r="A1658" s="352" t="s">
        <v>1450</v>
      </c>
      <c r="B1658" s="1161" t="s">
        <v>2211</v>
      </c>
      <c r="C1658" s="1161"/>
      <c r="D1658" s="1161"/>
      <c r="E1658" s="490" t="s">
        <v>1316</v>
      </c>
      <c r="G1658" s="353"/>
      <c r="H1658" s="122"/>
    </row>
    <row r="1659" spans="1:8" ht="20.399999999999999">
      <c r="A1659" s="309" t="s">
        <v>30</v>
      </c>
      <c r="B1659" s="354" t="s">
        <v>19</v>
      </c>
      <c r="C1659" s="293" t="s">
        <v>81</v>
      </c>
      <c r="D1659" s="294" t="s">
        <v>77</v>
      </c>
      <c r="E1659" s="294" t="s">
        <v>82</v>
      </c>
      <c r="F1659" s="295" t="s">
        <v>83</v>
      </c>
      <c r="G1659" s="355" t="s">
        <v>84</v>
      </c>
      <c r="H1659" s="122"/>
    </row>
    <row r="1660" spans="1:8">
      <c r="A1660" s="1141">
        <v>88377</v>
      </c>
      <c r="B1660" s="1129" t="s">
        <v>2214</v>
      </c>
      <c r="C1660" s="293" t="s">
        <v>104</v>
      </c>
      <c r="D1660" s="1131" t="s">
        <v>105</v>
      </c>
      <c r="E1660" s="1165">
        <v>4.75</v>
      </c>
      <c r="F1660" s="825">
        <f>G941</f>
        <v>10.280000000000001</v>
      </c>
      <c r="G1660" s="358">
        <f>TRUNC(E1660*F1660,2)</f>
        <v>48.83</v>
      </c>
      <c r="H1660" s="122"/>
    </row>
    <row r="1661" spans="1:8">
      <c r="A1661" s="1142"/>
      <c r="B1661" s="1130"/>
      <c r="C1661" s="293" t="s">
        <v>87</v>
      </c>
      <c r="D1661" s="1131"/>
      <c r="E1661" s="1166"/>
      <c r="F1661" s="825">
        <f>G942</f>
        <v>3.99</v>
      </c>
      <c r="G1661" s="358">
        <f>TRUNC(E1660*F1661,2)</f>
        <v>18.95</v>
      </c>
      <c r="H1661" s="122"/>
    </row>
    <row r="1662" spans="1:8" ht="20.399999999999999">
      <c r="A1662" s="309">
        <v>370</v>
      </c>
      <c r="B1662" s="498" t="s">
        <v>1318</v>
      </c>
      <c r="C1662" s="293" t="s">
        <v>87</v>
      </c>
      <c r="D1662" s="294" t="s">
        <v>1316</v>
      </c>
      <c r="E1662" s="311">
        <v>1.29</v>
      </c>
      <c r="F1662" s="828">
        <v>62.5</v>
      </c>
      <c r="G1662" s="358">
        <f t="shared" ref="G1662:G1663" si="78">TRUNC(E1662*F1662,2)</f>
        <v>80.62</v>
      </c>
      <c r="H1662" s="122"/>
    </row>
    <row r="1663" spans="1:8">
      <c r="A1663" s="309">
        <v>1106</v>
      </c>
      <c r="B1663" s="498" t="s">
        <v>2213</v>
      </c>
      <c r="C1663" s="293" t="s">
        <v>87</v>
      </c>
      <c r="D1663" s="294" t="s">
        <v>1319</v>
      </c>
      <c r="E1663" s="298">
        <v>193.7</v>
      </c>
      <c r="F1663" s="828">
        <v>0.65</v>
      </c>
      <c r="G1663" s="358">
        <f t="shared" si="78"/>
        <v>125.9</v>
      </c>
      <c r="H1663" s="122"/>
    </row>
    <row r="1664" spans="1:8">
      <c r="A1664" s="309">
        <v>1379</v>
      </c>
      <c r="B1664" s="499" t="s">
        <v>1043</v>
      </c>
      <c r="C1664" s="293" t="s">
        <v>87</v>
      </c>
      <c r="D1664" s="294" t="s">
        <v>1319</v>
      </c>
      <c r="E1664" s="294">
        <v>185.63</v>
      </c>
      <c r="F1664" s="828">
        <v>0.49</v>
      </c>
      <c r="G1664" s="296">
        <f>TRUNC(E1664*F1664,2)</f>
        <v>90.95</v>
      </c>
      <c r="H1664" s="122"/>
    </row>
    <row r="1665" spans="1:8" ht="30.6">
      <c r="A1665" s="343">
        <v>88830</v>
      </c>
      <c r="B1665" s="297" t="s">
        <v>1498</v>
      </c>
      <c r="C1665" s="294" t="s">
        <v>1260</v>
      </c>
      <c r="D1665" s="293" t="s">
        <v>383</v>
      </c>
      <c r="E1665" s="344">
        <v>1.1100000000000001</v>
      </c>
      <c r="F1665" s="825">
        <f>G1223</f>
        <v>1.48</v>
      </c>
      <c r="G1665" s="312">
        <f t="shared" ref="G1665:G1666" si="79">TRUNC(E1665*F1665,2)</f>
        <v>1.64</v>
      </c>
      <c r="H1665" s="122"/>
    </row>
    <row r="1666" spans="1:8" ht="30.6">
      <c r="A1666" s="343" t="s">
        <v>2215</v>
      </c>
      <c r="B1666" s="297" t="s">
        <v>1499</v>
      </c>
      <c r="C1666" s="294" t="s">
        <v>1260</v>
      </c>
      <c r="D1666" s="293" t="s">
        <v>383</v>
      </c>
      <c r="E1666" s="344">
        <v>3.64</v>
      </c>
      <c r="F1666" s="825">
        <v>0.25</v>
      </c>
      <c r="G1666" s="312">
        <f t="shared" si="79"/>
        <v>0.91</v>
      </c>
      <c r="H1666" s="122"/>
    </row>
    <row r="1667" spans="1:8">
      <c r="C1667" s="124"/>
      <c r="D1667" s="122"/>
      <c r="E1667" s="359"/>
      <c r="F1667" s="360" t="s">
        <v>90</v>
      </c>
      <c r="G1667" s="322">
        <f>G1660</f>
        <v>48.83</v>
      </c>
      <c r="H1667" s="122"/>
    </row>
    <row r="1668" spans="1:8">
      <c r="C1668" s="124"/>
      <c r="D1668" s="122"/>
      <c r="E1668" s="361"/>
      <c r="F1668" s="301" t="s">
        <v>92</v>
      </c>
      <c r="G1668" s="312">
        <f>G1661+G1662+G1663+G1664+G1665+G1666</f>
        <v>318.97000000000003</v>
      </c>
      <c r="H1668" s="122"/>
    </row>
    <row r="1669" spans="1:8">
      <c r="C1669" s="124"/>
      <c r="D1669" s="122"/>
      <c r="E1669" s="361"/>
      <c r="F1669" s="301" t="s">
        <v>93</v>
      </c>
      <c r="G1669" s="820">
        <f>SUM(G1667:G1668)</f>
        <v>367.8</v>
      </c>
      <c r="H1669" s="122"/>
    </row>
    <row r="1670" spans="1:8">
      <c r="A1670" s="362"/>
      <c r="B1670" s="363"/>
      <c r="C1670" s="364"/>
      <c r="D1670" s="362"/>
      <c r="E1670" s="363"/>
      <c r="F1670" s="363"/>
      <c r="G1670" s="363"/>
      <c r="H1670" s="362"/>
    </row>
    <row r="1672" spans="1:8">
      <c r="A1672" s="122" t="s">
        <v>1194</v>
      </c>
      <c r="C1672" s="124"/>
      <c r="D1672" s="122"/>
      <c r="E1672" s="128"/>
      <c r="H1672" s="122"/>
    </row>
    <row r="1673" spans="1:8">
      <c r="A1673" s="148" t="s">
        <v>2219</v>
      </c>
      <c r="C1673" s="124"/>
      <c r="D1673" s="122"/>
      <c r="E1673" s="128"/>
      <c r="H1673" s="122"/>
    </row>
    <row r="1674" spans="1:8" ht="22.5" customHeight="1">
      <c r="A1674" s="352" t="s">
        <v>1450</v>
      </c>
      <c r="B1674" s="1161" t="s">
        <v>2218</v>
      </c>
      <c r="C1674" s="1161"/>
      <c r="D1674" s="490" t="s">
        <v>1316</v>
      </c>
      <c r="G1674" s="353"/>
      <c r="H1674" s="122"/>
    </row>
    <row r="1675" spans="1:8" ht="20.399999999999999">
      <c r="A1675" s="309" t="s">
        <v>30</v>
      </c>
      <c r="B1675" s="354" t="s">
        <v>19</v>
      </c>
      <c r="C1675" s="293" t="s">
        <v>81</v>
      </c>
      <c r="D1675" s="294" t="s">
        <v>77</v>
      </c>
      <c r="E1675" s="294" t="s">
        <v>82</v>
      </c>
      <c r="F1675" s="295" t="s">
        <v>83</v>
      </c>
      <c r="G1675" s="355" t="s">
        <v>84</v>
      </c>
      <c r="H1675" s="122"/>
    </row>
    <row r="1676" spans="1:8" ht="20.399999999999999">
      <c r="A1676" s="309" t="s">
        <v>1317</v>
      </c>
      <c r="B1676" s="498" t="s">
        <v>1318</v>
      </c>
      <c r="C1676" s="293" t="s">
        <v>87</v>
      </c>
      <c r="D1676" s="294" t="s">
        <v>1316</v>
      </c>
      <c r="E1676" s="311">
        <v>1.05</v>
      </c>
      <c r="F1676" s="294">
        <v>56.25</v>
      </c>
      <c r="G1676" s="358">
        <f t="shared" ref="G1676" si="80">TRUNC(E1676*F1676,2)</f>
        <v>59.06</v>
      </c>
      <c r="H1676" s="122"/>
    </row>
    <row r="1677" spans="1:8" ht="14.1" customHeight="1">
      <c r="A1677" s="309" t="s">
        <v>1042</v>
      </c>
      <c r="B1677" s="499" t="s">
        <v>1043</v>
      </c>
      <c r="C1677" s="293" t="s">
        <v>87</v>
      </c>
      <c r="D1677" s="294" t="s">
        <v>1319</v>
      </c>
      <c r="E1677" s="294">
        <v>401.09</v>
      </c>
      <c r="F1677" s="294">
        <v>0.49</v>
      </c>
      <c r="G1677" s="296">
        <f>TRUNC(E1677*F1677,2)</f>
        <v>196.53</v>
      </c>
      <c r="H1677" s="122"/>
    </row>
    <row r="1678" spans="1:8" ht="14.1" customHeight="1">
      <c r="A1678" s="1141">
        <v>88316</v>
      </c>
      <c r="B1678" s="1129" t="s">
        <v>110</v>
      </c>
      <c r="C1678" s="293" t="s">
        <v>104</v>
      </c>
      <c r="D1678" s="1189" t="s">
        <v>383</v>
      </c>
      <c r="E1678" s="1153">
        <v>10.89</v>
      </c>
      <c r="F1678" s="298">
        <f>G104</f>
        <v>11.18</v>
      </c>
      <c r="G1678" s="296">
        <f>TRUNC(E1678*F1678,2)</f>
        <v>121.75</v>
      </c>
      <c r="H1678" s="122"/>
    </row>
    <row r="1679" spans="1:8" ht="14.1" customHeight="1">
      <c r="A1679" s="1142"/>
      <c r="B1679" s="1130"/>
      <c r="C1679" s="294" t="s">
        <v>87</v>
      </c>
      <c r="D1679" s="1190"/>
      <c r="E1679" s="1154"/>
      <c r="F1679" s="298">
        <f>G105</f>
        <v>4.7300000000000004</v>
      </c>
      <c r="G1679" s="312">
        <f>TRUNC(E1678*F1679,2)</f>
        <v>51.5</v>
      </c>
      <c r="H1679" s="122"/>
    </row>
    <row r="1680" spans="1:8">
      <c r="C1680" s="124"/>
      <c r="D1680" s="122"/>
      <c r="E1680" s="359"/>
      <c r="F1680" s="360" t="s">
        <v>90</v>
      </c>
      <c r="G1680" s="322">
        <f>G1678</f>
        <v>121.75</v>
      </c>
      <c r="H1680" s="122"/>
    </row>
    <row r="1681" spans="1:8">
      <c r="C1681" s="124"/>
      <c r="D1681" s="122"/>
      <c r="E1681" s="361"/>
      <c r="F1681" s="301" t="s">
        <v>92</v>
      </c>
      <c r="G1681" s="312">
        <f>G1676+G1677+G1679</f>
        <v>307.09000000000003</v>
      </c>
      <c r="H1681" s="122"/>
    </row>
    <row r="1682" spans="1:8">
      <c r="C1682" s="124"/>
      <c r="D1682" s="122"/>
      <c r="E1682" s="361"/>
      <c r="F1682" s="301" t="s">
        <v>93</v>
      </c>
      <c r="G1682" s="313">
        <f>SUM(G1680:G1681)</f>
        <v>428.84000000000003</v>
      </c>
      <c r="H1682" s="122"/>
    </row>
    <row r="1683" spans="1:8">
      <c r="A1683" s="362"/>
      <c r="B1683" s="363"/>
      <c r="C1683" s="364"/>
      <c r="D1683" s="362"/>
      <c r="E1683" s="363"/>
      <c r="F1683" s="363"/>
      <c r="G1683" s="363"/>
      <c r="H1683" s="362"/>
    </row>
    <row r="1684" spans="1:8">
      <c r="A1684" s="362"/>
      <c r="B1684" s="363"/>
      <c r="C1684" s="364"/>
      <c r="D1684" s="362"/>
      <c r="E1684" s="363"/>
      <c r="F1684" s="363"/>
      <c r="G1684" s="363"/>
      <c r="H1684" s="362"/>
    </row>
    <row r="1686" spans="1:8">
      <c r="A1686" s="826" t="s">
        <v>2709</v>
      </c>
      <c r="C1686" s="124"/>
      <c r="D1686" s="122"/>
      <c r="E1686" s="128"/>
      <c r="H1686" s="122"/>
    </row>
    <row r="1687" spans="1:8">
      <c r="A1687" s="836" t="s">
        <v>2732</v>
      </c>
      <c r="C1687" s="124"/>
      <c r="D1687" s="122"/>
      <c r="E1687" s="128"/>
      <c r="H1687" s="122"/>
    </row>
    <row r="1688" spans="1:8" ht="36" customHeight="1">
      <c r="A1688" s="352" t="s">
        <v>1450</v>
      </c>
      <c r="B1688" s="1282" t="s">
        <v>2730</v>
      </c>
      <c r="C1688" s="1282"/>
      <c r="D1688" s="490" t="s">
        <v>1316</v>
      </c>
      <c r="G1688" s="353"/>
      <c r="H1688" s="122"/>
    </row>
    <row r="1689" spans="1:8" ht="20.399999999999999">
      <c r="A1689" s="790" t="s">
        <v>30</v>
      </c>
      <c r="B1689" s="354" t="s">
        <v>19</v>
      </c>
      <c r="C1689" s="293" t="s">
        <v>81</v>
      </c>
      <c r="D1689" s="780" t="s">
        <v>77</v>
      </c>
      <c r="E1689" s="780" t="s">
        <v>82</v>
      </c>
      <c r="F1689" s="295" t="s">
        <v>83</v>
      </c>
      <c r="G1689" s="355" t="s">
        <v>84</v>
      </c>
      <c r="H1689" s="122"/>
    </row>
    <row r="1690" spans="1:8" ht="15" customHeight="1">
      <c r="A1690" s="1141">
        <v>88377</v>
      </c>
      <c r="B1690" s="1278" t="s">
        <v>1324</v>
      </c>
      <c r="C1690" s="293" t="s">
        <v>104</v>
      </c>
      <c r="D1690" s="1153" t="s">
        <v>383</v>
      </c>
      <c r="E1690" s="1153">
        <v>4.6399999999999997</v>
      </c>
      <c r="F1690" s="837">
        <f>G941</f>
        <v>10.280000000000001</v>
      </c>
      <c r="G1690" s="358">
        <f t="shared" ref="G1690" si="81">TRUNC(E1690*F1690,2)</f>
        <v>47.69</v>
      </c>
      <c r="H1690" s="122"/>
    </row>
    <row r="1691" spans="1:8" ht="15" customHeight="1">
      <c r="A1691" s="1142"/>
      <c r="B1691" s="1279"/>
      <c r="C1691" s="293" t="s">
        <v>87</v>
      </c>
      <c r="D1691" s="1154"/>
      <c r="E1691" s="1154"/>
      <c r="F1691" s="837">
        <f>G942</f>
        <v>3.99</v>
      </c>
      <c r="G1691" s="358">
        <f>TRUNC(E1690*F1691,2)</f>
        <v>18.510000000000002</v>
      </c>
      <c r="H1691" s="122"/>
    </row>
    <row r="1692" spans="1:8" ht="34.5" customHeight="1">
      <c r="A1692" s="790">
        <v>88830</v>
      </c>
      <c r="B1692" s="839" t="s">
        <v>2731</v>
      </c>
      <c r="C1692" s="293" t="s">
        <v>87</v>
      </c>
      <c r="D1692" s="780" t="s">
        <v>383</v>
      </c>
      <c r="E1692" s="780">
        <v>1.08</v>
      </c>
      <c r="F1692" s="835">
        <v>1.48</v>
      </c>
      <c r="G1692" s="358">
        <f>TRUNC(E1692*F1692,2)</f>
        <v>1.59</v>
      </c>
      <c r="H1692" s="122"/>
    </row>
    <row r="1693" spans="1:8" ht="30.6">
      <c r="A1693" s="790">
        <v>88831</v>
      </c>
      <c r="B1693" s="840" t="s">
        <v>2731</v>
      </c>
      <c r="C1693" s="293" t="s">
        <v>87</v>
      </c>
      <c r="D1693" s="780" t="s">
        <v>383</v>
      </c>
      <c r="E1693" s="780">
        <v>3.56</v>
      </c>
      <c r="F1693" s="837">
        <f>G1234</f>
        <v>0.25</v>
      </c>
      <c r="G1693" s="358">
        <f>TRUNC(E1693*F1693,2)</f>
        <v>0.89</v>
      </c>
      <c r="H1693" s="122"/>
    </row>
    <row r="1694" spans="1:8" ht="20.399999999999999">
      <c r="A1694" s="790">
        <v>367</v>
      </c>
      <c r="B1694" s="840" t="s">
        <v>2734</v>
      </c>
      <c r="C1694" s="293" t="s">
        <v>87</v>
      </c>
      <c r="D1694" s="780" t="s">
        <v>1316</v>
      </c>
      <c r="E1694" s="780">
        <v>1.02</v>
      </c>
      <c r="F1694" s="835">
        <v>66.5</v>
      </c>
      <c r="G1694" s="358">
        <f t="shared" ref="G1694:G1695" si="82">TRUNC(E1694*F1694,2)</f>
        <v>67.83</v>
      </c>
      <c r="H1694" s="122"/>
    </row>
    <row r="1695" spans="1:8">
      <c r="A1695" s="790">
        <v>1379</v>
      </c>
      <c r="B1695" s="354" t="s">
        <v>1043</v>
      </c>
      <c r="C1695" s="293" t="s">
        <v>87</v>
      </c>
      <c r="D1695" s="780" t="s">
        <v>1319</v>
      </c>
      <c r="E1695" s="780">
        <v>0.49</v>
      </c>
      <c r="F1695" s="835">
        <v>343.52</v>
      </c>
      <c r="G1695" s="841">
        <f t="shared" si="82"/>
        <v>168.32</v>
      </c>
      <c r="H1695" s="122"/>
    </row>
    <row r="1696" spans="1:8">
      <c r="C1696" s="124"/>
      <c r="D1696" s="122"/>
      <c r="E1696" s="359"/>
      <c r="F1696" s="360" t="s">
        <v>90</v>
      </c>
      <c r="G1696" s="322">
        <f>G1690</f>
        <v>47.69</v>
      </c>
      <c r="H1696" s="122"/>
    </row>
    <row r="1697" spans="1:8">
      <c r="C1697" s="124"/>
      <c r="D1697" s="122"/>
      <c r="E1697" s="361"/>
      <c r="F1697" s="301" t="s">
        <v>92</v>
      </c>
      <c r="G1697" s="312">
        <f>SUM(G1691:G1695)</f>
        <v>257.14</v>
      </c>
      <c r="H1697" s="122"/>
    </row>
    <row r="1698" spans="1:8">
      <c r="C1698" s="124"/>
      <c r="D1698" s="122"/>
      <c r="E1698" s="361"/>
      <c r="F1698" s="301" t="s">
        <v>93</v>
      </c>
      <c r="G1698" s="820">
        <f>SUM(G1696:G1697)</f>
        <v>304.83</v>
      </c>
      <c r="H1698" s="122"/>
    </row>
    <row r="1699" spans="1:8">
      <c r="A1699" s="362"/>
      <c r="B1699" s="363"/>
      <c r="C1699" s="364"/>
      <c r="D1699" s="362"/>
      <c r="E1699" s="363"/>
      <c r="F1699" s="363"/>
      <c r="G1699" s="363"/>
      <c r="H1699" s="362"/>
    </row>
    <row r="1701" spans="1:8">
      <c r="A1701" s="826" t="s">
        <v>2709</v>
      </c>
      <c r="C1701" s="124"/>
      <c r="D1701" s="122"/>
      <c r="E1701" s="128"/>
      <c r="H1701" s="122"/>
    </row>
    <row r="1702" spans="1:8">
      <c r="A1702" s="836" t="s">
        <v>2738</v>
      </c>
      <c r="C1702" s="124"/>
      <c r="D1702" s="122"/>
      <c r="E1702" s="128"/>
      <c r="H1702" s="122"/>
    </row>
    <row r="1703" spans="1:8" ht="36" customHeight="1">
      <c r="A1703" s="352" t="s">
        <v>1450</v>
      </c>
      <c r="B1703" s="1282" t="s">
        <v>2730</v>
      </c>
      <c r="C1703" s="1282"/>
      <c r="D1703" s="490" t="s">
        <v>1316</v>
      </c>
      <c r="G1703" s="353"/>
      <c r="H1703" s="122"/>
    </row>
    <row r="1704" spans="1:8" ht="20.399999999999999">
      <c r="A1704" s="790" t="s">
        <v>30</v>
      </c>
      <c r="B1704" s="354" t="s">
        <v>19</v>
      </c>
      <c r="C1704" s="293" t="s">
        <v>81</v>
      </c>
      <c r="D1704" s="780" t="s">
        <v>77</v>
      </c>
      <c r="E1704" s="780" t="s">
        <v>82</v>
      </c>
      <c r="F1704" s="295" t="s">
        <v>83</v>
      </c>
      <c r="G1704" s="355" t="s">
        <v>84</v>
      </c>
      <c r="H1704" s="122"/>
    </row>
    <row r="1705" spans="1:8" ht="15" customHeight="1">
      <c r="A1705" s="1141">
        <v>88377</v>
      </c>
      <c r="B1705" s="1278" t="s">
        <v>1324</v>
      </c>
      <c r="C1705" s="293" t="s">
        <v>104</v>
      </c>
      <c r="D1705" s="1153" t="s">
        <v>383</v>
      </c>
      <c r="E1705" s="1153">
        <v>3.42</v>
      </c>
      <c r="F1705" s="837">
        <f>G941</f>
        <v>10.280000000000001</v>
      </c>
      <c r="G1705" s="358">
        <f t="shared" ref="G1705" si="83">TRUNC(E1705*F1705,2)</f>
        <v>35.15</v>
      </c>
      <c r="H1705" s="122"/>
    </row>
    <row r="1706" spans="1:8" ht="15" customHeight="1">
      <c r="A1706" s="1142"/>
      <c r="B1706" s="1279"/>
      <c r="C1706" s="293" t="s">
        <v>87</v>
      </c>
      <c r="D1706" s="1154"/>
      <c r="E1706" s="1154"/>
      <c r="F1706" s="837">
        <f>G942</f>
        <v>3.99</v>
      </c>
      <c r="G1706" s="358">
        <f>TRUNC(E1705*F1706,2)</f>
        <v>13.64</v>
      </c>
      <c r="H1706" s="122"/>
    </row>
    <row r="1707" spans="1:8" ht="39.75" customHeight="1">
      <c r="A1707" s="790">
        <v>88830</v>
      </c>
      <c r="B1707" s="843" t="s">
        <v>2731</v>
      </c>
      <c r="C1707" s="293" t="s">
        <v>87</v>
      </c>
      <c r="D1707" s="780" t="s">
        <v>383</v>
      </c>
      <c r="E1707" s="780">
        <v>0.8</v>
      </c>
      <c r="F1707" s="835">
        <v>1.48</v>
      </c>
      <c r="G1707" s="358">
        <f>TRUNC(E1707*F1707,2)</f>
        <v>1.18</v>
      </c>
      <c r="H1707" s="122"/>
    </row>
    <row r="1708" spans="1:8" ht="30.6">
      <c r="A1708" s="790">
        <v>88831</v>
      </c>
      <c r="B1708" s="840" t="s">
        <v>2731</v>
      </c>
      <c r="C1708" s="293" t="s">
        <v>87</v>
      </c>
      <c r="D1708" s="780" t="s">
        <v>383</v>
      </c>
      <c r="E1708" s="780">
        <v>2.62</v>
      </c>
      <c r="F1708" s="837">
        <f>G1234</f>
        <v>0.25</v>
      </c>
      <c r="G1708" s="358">
        <f>TRUNC(E1708*F1708,2)</f>
        <v>0.65</v>
      </c>
      <c r="H1708" s="122"/>
    </row>
    <row r="1709" spans="1:8" ht="20.399999999999999">
      <c r="A1709" s="790">
        <v>370</v>
      </c>
      <c r="B1709" s="840" t="s">
        <v>1318</v>
      </c>
      <c r="C1709" s="293" t="s">
        <v>87</v>
      </c>
      <c r="D1709" s="780" t="s">
        <v>1316</v>
      </c>
      <c r="E1709" s="780">
        <v>1.07</v>
      </c>
      <c r="F1709" s="835">
        <v>62.5</v>
      </c>
      <c r="G1709" s="358">
        <f t="shared" ref="G1709:G1710" si="84">TRUNC(E1709*F1709,2)</f>
        <v>66.87</v>
      </c>
      <c r="H1709" s="122"/>
    </row>
    <row r="1710" spans="1:8">
      <c r="A1710" s="790">
        <v>1379</v>
      </c>
      <c r="B1710" s="354" t="s">
        <v>1043</v>
      </c>
      <c r="C1710" s="293" t="s">
        <v>87</v>
      </c>
      <c r="D1710" s="780" t="s">
        <v>1319</v>
      </c>
      <c r="E1710" s="780">
        <v>483.7</v>
      </c>
      <c r="F1710" s="835">
        <v>0.49</v>
      </c>
      <c r="G1710" s="841">
        <f t="shared" si="84"/>
        <v>237.01</v>
      </c>
      <c r="H1710" s="122"/>
    </row>
    <row r="1711" spans="1:8">
      <c r="C1711" s="124"/>
      <c r="D1711" s="122"/>
      <c r="E1711" s="359"/>
      <c r="F1711" s="360" t="s">
        <v>90</v>
      </c>
      <c r="G1711" s="322">
        <f>G1705</f>
        <v>35.15</v>
      </c>
      <c r="H1711" s="122"/>
    </row>
    <row r="1712" spans="1:8">
      <c r="C1712" s="124"/>
      <c r="D1712" s="122"/>
      <c r="E1712" s="361"/>
      <c r="F1712" s="301" t="s">
        <v>92</v>
      </c>
      <c r="G1712" s="312">
        <f>SUM(G1706:G1710)</f>
        <v>319.35000000000002</v>
      </c>
      <c r="H1712" s="122"/>
    </row>
    <row r="1713" spans="1:8">
      <c r="C1713" s="124"/>
      <c r="D1713" s="122"/>
      <c r="E1713" s="361"/>
      <c r="F1713" s="301" t="s">
        <v>93</v>
      </c>
      <c r="G1713" s="820">
        <f>SUM(G1711:G1712)</f>
        <v>354.5</v>
      </c>
      <c r="H1713" s="122"/>
    </row>
    <row r="1714" spans="1:8">
      <c r="A1714" s="362"/>
      <c r="B1714" s="363"/>
      <c r="C1714" s="364"/>
      <c r="D1714" s="362"/>
      <c r="E1714" s="363"/>
      <c r="F1714" s="363"/>
      <c r="G1714" s="363"/>
      <c r="H1714" s="362"/>
    </row>
    <row r="1715" spans="1:8">
      <c r="A1715" s="362"/>
      <c r="B1715" s="363"/>
      <c r="C1715" s="364"/>
      <c r="D1715" s="362"/>
      <c r="E1715" s="363"/>
      <c r="F1715" s="363"/>
      <c r="G1715" s="363"/>
      <c r="H1715" s="362"/>
    </row>
    <row r="1717" spans="1:8">
      <c r="A1717" s="826" t="s">
        <v>2709</v>
      </c>
      <c r="C1717" s="124"/>
      <c r="D1717" s="122"/>
      <c r="E1717" s="128"/>
      <c r="H1717" s="122"/>
    </row>
    <row r="1718" spans="1:8">
      <c r="A1718" s="836" t="s">
        <v>2732</v>
      </c>
      <c r="C1718" s="124"/>
      <c r="D1718" s="122"/>
      <c r="E1718" s="128"/>
      <c r="H1718" s="122"/>
    </row>
    <row r="1719" spans="1:8" ht="36" customHeight="1">
      <c r="A1719" s="352" t="s">
        <v>1450</v>
      </c>
      <c r="B1719" s="1282" t="s">
        <v>2768</v>
      </c>
      <c r="C1719" s="1282"/>
      <c r="D1719" s="490" t="s">
        <v>1316</v>
      </c>
      <c r="G1719" s="353"/>
      <c r="H1719" s="122"/>
    </row>
    <row r="1720" spans="1:8" ht="20.399999999999999">
      <c r="A1720" s="790" t="s">
        <v>30</v>
      </c>
      <c r="B1720" s="354" t="s">
        <v>19</v>
      </c>
      <c r="C1720" s="293" t="s">
        <v>81</v>
      </c>
      <c r="D1720" s="780" t="s">
        <v>77</v>
      </c>
      <c r="E1720" s="780" t="s">
        <v>82</v>
      </c>
      <c r="F1720" s="295" t="s">
        <v>83</v>
      </c>
      <c r="G1720" s="355" t="s">
        <v>84</v>
      </c>
      <c r="H1720" s="122"/>
    </row>
    <row r="1721" spans="1:8" ht="27.75" customHeight="1">
      <c r="A1721" s="779">
        <v>88628</v>
      </c>
      <c r="B1721" s="838" t="s">
        <v>2769</v>
      </c>
      <c r="C1721" s="293" t="s">
        <v>87</v>
      </c>
      <c r="D1721" s="781" t="s">
        <v>438</v>
      </c>
      <c r="E1721" s="781">
        <v>1</v>
      </c>
      <c r="F1721" s="837">
        <v>332.56</v>
      </c>
      <c r="G1721" s="358">
        <f t="shared" ref="G1721" si="85">TRUNC(E1721*F1721,2)</f>
        <v>332.56</v>
      </c>
      <c r="H1721" s="122"/>
    </row>
    <row r="1722" spans="1:8" ht="34.5" customHeight="1">
      <c r="A1722" s="790">
        <v>123</v>
      </c>
      <c r="B1722" s="839" t="s">
        <v>2770</v>
      </c>
      <c r="C1722" s="293" t="s">
        <v>87</v>
      </c>
      <c r="D1722" s="780" t="s">
        <v>1207</v>
      </c>
      <c r="E1722" s="780">
        <v>18</v>
      </c>
      <c r="F1722" s="835">
        <v>4.47</v>
      </c>
      <c r="G1722" s="358">
        <f>TRUNC(E1722*F1722,2)</f>
        <v>80.459999999999994</v>
      </c>
      <c r="H1722" s="122"/>
    </row>
    <row r="1723" spans="1:8">
      <c r="C1723" s="124"/>
      <c r="D1723" s="122"/>
      <c r="E1723" s="359"/>
      <c r="F1723" s="360" t="s">
        <v>90</v>
      </c>
      <c r="G1723" s="322">
        <f>G1721</f>
        <v>332.56</v>
      </c>
      <c r="H1723" s="122"/>
    </row>
    <row r="1724" spans="1:8">
      <c r="C1724" s="124"/>
      <c r="D1724" s="122"/>
      <c r="E1724" s="361"/>
      <c r="F1724" s="301" t="s">
        <v>92</v>
      </c>
      <c r="G1724" s="312">
        <f>G1722</f>
        <v>80.459999999999994</v>
      </c>
      <c r="H1724" s="122"/>
    </row>
    <row r="1725" spans="1:8">
      <c r="C1725" s="124"/>
      <c r="D1725" s="122"/>
      <c r="E1725" s="361"/>
      <c r="F1725" s="301" t="s">
        <v>93</v>
      </c>
      <c r="G1725" s="820">
        <f>SUM(G1723:G1724)</f>
        <v>413.02</v>
      </c>
      <c r="H1725" s="122"/>
    </row>
    <row r="1726" spans="1:8">
      <c r="A1726" s="362"/>
      <c r="B1726" s="363"/>
      <c r="C1726" s="364"/>
      <c r="D1726" s="362"/>
      <c r="E1726" s="363"/>
      <c r="F1726" s="363"/>
      <c r="G1726" s="363"/>
      <c r="H1726" s="362"/>
    </row>
    <row r="1728" spans="1:8">
      <c r="A1728" s="826" t="s">
        <v>2709</v>
      </c>
      <c r="C1728" s="124"/>
      <c r="D1728" s="122"/>
      <c r="E1728" s="128"/>
      <c r="H1728" s="122"/>
    </row>
    <row r="1729" spans="1:8">
      <c r="A1729" s="836" t="s">
        <v>2741</v>
      </c>
      <c r="C1729" s="124"/>
      <c r="D1729" s="122"/>
      <c r="E1729" s="128"/>
      <c r="H1729" s="122"/>
    </row>
    <row r="1730" spans="1:8" ht="26.25" customHeight="1">
      <c r="A1730" s="352" t="s">
        <v>1450</v>
      </c>
      <c r="B1730" s="1282" t="s">
        <v>2740</v>
      </c>
      <c r="C1730" s="1282"/>
      <c r="D1730" s="490" t="s">
        <v>1316</v>
      </c>
      <c r="G1730" s="353"/>
      <c r="H1730" s="122"/>
    </row>
    <row r="1731" spans="1:8" ht="20.399999999999999">
      <c r="A1731" s="790" t="s">
        <v>30</v>
      </c>
      <c r="B1731" s="354" t="s">
        <v>19</v>
      </c>
      <c r="C1731" s="293" t="s">
        <v>81</v>
      </c>
      <c r="D1731" s="780" t="s">
        <v>77</v>
      </c>
      <c r="E1731" s="780" t="s">
        <v>82</v>
      </c>
      <c r="F1731" s="295" t="s">
        <v>83</v>
      </c>
      <c r="G1731" s="355" t="s">
        <v>84</v>
      </c>
      <c r="H1731" s="122"/>
    </row>
    <row r="1732" spans="1:8" ht="15" customHeight="1">
      <c r="A1732" s="1141">
        <v>88309</v>
      </c>
      <c r="B1732" s="1278" t="s">
        <v>118</v>
      </c>
      <c r="C1732" s="293" t="s">
        <v>104</v>
      </c>
      <c r="D1732" s="1153" t="s">
        <v>383</v>
      </c>
      <c r="E1732" s="1280">
        <v>0.104</v>
      </c>
      <c r="F1732" s="837">
        <f>G151</f>
        <v>15.020000000000001</v>
      </c>
      <c r="G1732" s="358">
        <f t="shared" ref="G1732" si="86">TRUNC(E1732*F1732,2)</f>
        <v>1.56</v>
      </c>
      <c r="H1732" s="122"/>
    </row>
    <row r="1733" spans="1:8" ht="15" customHeight="1">
      <c r="A1733" s="1142"/>
      <c r="B1733" s="1279"/>
      <c r="C1733" s="293" t="s">
        <v>87</v>
      </c>
      <c r="D1733" s="1154"/>
      <c r="E1733" s="1281"/>
      <c r="F1733" s="837">
        <f>G152</f>
        <v>4.79</v>
      </c>
      <c r="G1733" s="358">
        <f>TRUNC(E1732*F1733,2)</f>
        <v>0.49</v>
      </c>
      <c r="H1733" s="122"/>
    </row>
    <row r="1734" spans="1:8" ht="15" customHeight="1">
      <c r="A1734" s="1141" t="s">
        <v>2736</v>
      </c>
      <c r="B1734" s="1278" t="s">
        <v>2737</v>
      </c>
      <c r="C1734" s="293" t="s">
        <v>104</v>
      </c>
      <c r="D1734" s="1153" t="s">
        <v>383</v>
      </c>
      <c r="E1734" s="1280">
        <v>0.156</v>
      </c>
      <c r="F1734" s="837">
        <f>G104</f>
        <v>11.18</v>
      </c>
      <c r="G1734" s="358">
        <f>TRUNC(E1734*F1734,2)</f>
        <v>1.74</v>
      </c>
      <c r="H1734" s="122"/>
    </row>
    <row r="1735" spans="1:8" ht="15.75" customHeight="1">
      <c r="A1735" s="1142"/>
      <c r="B1735" s="1279"/>
      <c r="C1735" s="293" t="s">
        <v>87</v>
      </c>
      <c r="D1735" s="1154"/>
      <c r="E1735" s="1281"/>
      <c r="F1735" s="837">
        <f>G105</f>
        <v>4.7300000000000004</v>
      </c>
      <c r="G1735" s="358">
        <f>TRUNC(E1734*F1735,2)</f>
        <v>0.73</v>
      </c>
      <c r="H1735" s="122"/>
    </row>
    <row r="1736" spans="1:8" ht="20.399999999999999">
      <c r="A1736" s="790">
        <v>91533</v>
      </c>
      <c r="B1736" s="840" t="s">
        <v>2742</v>
      </c>
      <c r="C1736" s="293" t="s">
        <v>87</v>
      </c>
      <c r="D1736" s="780" t="s">
        <v>1277</v>
      </c>
      <c r="E1736" s="846">
        <v>3.0000000000000001E-3</v>
      </c>
      <c r="F1736" s="837">
        <v>20.21</v>
      </c>
      <c r="G1736" s="358">
        <f>TRUNC(E1736*F1736,2)</f>
        <v>0.06</v>
      </c>
      <c r="H1736" s="122"/>
    </row>
    <row r="1737" spans="1:8" ht="20.399999999999999">
      <c r="A1737" s="790">
        <v>91534</v>
      </c>
      <c r="B1737" s="840" t="s">
        <v>2743</v>
      </c>
      <c r="C1737" s="293" t="s">
        <v>87</v>
      </c>
      <c r="D1737" s="780" t="s">
        <v>1256</v>
      </c>
      <c r="E1737" s="846">
        <v>3.0000000000000001E-3</v>
      </c>
      <c r="F1737" s="835">
        <v>15.57</v>
      </c>
      <c r="G1737" s="358">
        <f t="shared" ref="G1737" si="87">TRUNC(E1737*F1737,2)</f>
        <v>0.04</v>
      </c>
      <c r="H1737" s="122"/>
    </row>
    <row r="1738" spans="1:8">
      <c r="C1738" s="124"/>
      <c r="D1738" s="122"/>
      <c r="E1738" s="359"/>
      <c r="F1738" s="360" t="s">
        <v>90</v>
      </c>
      <c r="G1738" s="322">
        <f>G1732</f>
        <v>1.56</v>
      </c>
      <c r="H1738" s="122"/>
    </row>
    <row r="1739" spans="1:8">
      <c r="C1739" s="124"/>
      <c r="D1739" s="122"/>
      <c r="E1739" s="361"/>
      <c r="F1739" s="301" t="s">
        <v>92</v>
      </c>
      <c r="G1739" s="312">
        <f>SUM(G1733:G1737)</f>
        <v>3.06</v>
      </c>
      <c r="H1739" s="122"/>
    </row>
    <row r="1740" spans="1:8">
      <c r="C1740" s="124"/>
      <c r="D1740" s="122"/>
      <c r="E1740" s="361"/>
      <c r="F1740" s="301" t="s">
        <v>93</v>
      </c>
      <c r="G1740" s="820">
        <f>SUM(G1738:G1739)</f>
        <v>4.62</v>
      </c>
      <c r="H1740" s="122"/>
    </row>
    <row r="1741" spans="1:8">
      <c r="A1741" s="362"/>
      <c r="B1741" s="363"/>
      <c r="C1741" s="364"/>
      <c r="D1741" s="362"/>
      <c r="E1741" s="363"/>
      <c r="F1741" s="363"/>
      <c r="G1741" s="363"/>
      <c r="H1741" s="362"/>
    </row>
    <row r="1743" spans="1:8">
      <c r="A1743" s="826" t="s">
        <v>2709</v>
      </c>
      <c r="C1743" s="124"/>
      <c r="D1743" s="122"/>
      <c r="E1743" s="128"/>
      <c r="H1743" s="122"/>
    </row>
    <row r="1744" spans="1:8">
      <c r="A1744" s="836" t="s">
        <v>3279</v>
      </c>
      <c r="C1744" s="124"/>
      <c r="D1744" s="122"/>
      <c r="E1744" s="128"/>
      <c r="H1744" s="122"/>
    </row>
    <row r="1745" spans="1:8" ht="26.25" customHeight="1">
      <c r="A1745" s="352" t="s">
        <v>1450</v>
      </c>
      <c r="B1745" s="1282" t="s">
        <v>2740</v>
      </c>
      <c r="C1745" s="1282"/>
      <c r="D1745" s="490" t="s">
        <v>1316</v>
      </c>
      <c r="G1745" s="353"/>
      <c r="H1745" s="122"/>
    </row>
    <row r="1746" spans="1:8" ht="20.399999999999999">
      <c r="A1746" s="1027" t="s">
        <v>30</v>
      </c>
      <c r="B1746" s="354" t="s">
        <v>19</v>
      </c>
      <c r="C1746" s="293" t="s">
        <v>81</v>
      </c>
      <c r="D1746" s="1018" t="s">
        <v>77</v>
      </c>
      <c r="E1746" s="1018" t="s">
        <v>82</v>
      </c>
      <c r="F1746" s="1023" t="s">
        <v>83</v>
      </c>
      <c r="G1746" s="355" t="s">
        <v>84</v>
      </c>
      <c r="H1746" s="122"/>
    </row>
    <row r="1747" spans="1:8" ht="15" customHeight="1">
      <c r="A1747" s="1141">
        <v>88309</v>
      </c>
      <c r="B1747" s="1278" t="s">
        <v>118</v>
      </c>
      <c r="C1747" s="293" t="s">
        <v>104</v>
      </c>
      <c r="D1747" s="1153" t="s">
        <v>383</v>
      </c>
      <c r="E1747" s="1280">
        <v>5.1999999999999998E-2</v>
      </c>
      <c r="F1747" s="837">
        <v>14.81</v>
      </c>
      <c r="G1747" s="358">
        <f t="shared" ref="G1747" si="88">TRUNC(E1747*F1747,2)</f>
        <v>0.77</v>
      </c>
      <c r="H1747" s="122"/>
    </row>
    <row r="1748" spans="1:8" ht="15" customHeight="1">
      <c r="A1748" s="1142"/>
      <c r="B1748" s="1279"/>
      <c r="C1748" s="293" t="s">
        <v>87</v>
      </c>
      <c r="D1748" s="1154"/>
      <c r="E1748" s="1281"/>
      <c r="F1748" s="837">
        <v>5</v>
      </c>
      <c r="G1748" s="358">
        <f>TRUNC(E1747*F1748,2)</f>
        <v>0.26</v>
      </c>
      <c r="H1748" s="122"/>
    </row>
    <row r="1749" spans="1:8" ht="15" customHeight="1">
      <c r="A1749" s="1141" t="s">
        <v>2736</v>
      </c>
      <c r="B1749" s="1278" t="s">
        <v>2737</v>
      </c>
      <c r="C1749" s="293" t="s">
        <v>104</v>
      </c>
      <c r="D1749" s="1153" t="s">
        <v>383</v>
      </c>
      <c r="E1749" s="1280">
        <v>7.8E-2</v>
      </c>
      <c r="F1749" s="837">
        <f>G104</f>
        <v>11.18</v>
      </c>
      <c r="G1749" s="358">
        <f>TRUNC(E1749*F1749,2)</f>
        <v>0.87</v>
      </c>
      <c r="H1749" s="122"/>
    </row>
    <row r="1750" spans="1:8" ht="15.75" customHeight="1">
      <c r="A1750" s="1142"/>
      <c r="B1750" s="1279"/>
      <c r="C1750" s="293" t="s">
        <v>87</v>
      </c>
      <c r="D1750" s="1154"/>
      <c r="E1750" s="1281"/>
      <c r="F1750" s="837">
        <f>G105</f>
        <v>4.7300000000000004</v>
      </c>
      <c r="G1750" s="358">
        <f>TRUNC(E1749*F1750,2)</f>
        <v>0.36</v>
      </c>
      <c r="H1750" s="122"/>
    </row>
    <row r="1751" spans="1:8" ht="20.399999999999999">
      <c r="A1751" s="1027">
        <v>91533</v>
      </c>
      <c r="B1751" s="840" t="s">
        <v>2742</v>
      </c>
      <c r="C1751" s="293" t="s">
        <v>87</v>
      </c>
      <c r="D1751" s="1018" t="s">
        <v>1277</v>
      </c>
      <c r="E1751" s="846">
        <v>2E-3</v>
      </c>
      <c r="F1751" s="837">
        <v>20.21</v>
      </c>
      <c r="G1751" s="358">
        <f>TRUNC(E1751*F1751,2)</f>
        <v>0.04</v>
      </c>
      <c r="H1751" s="122"/>
    </row>
    <row r="1752" spans="1:8" ht="20.399999999999999">
      <c r="A1752" s="1027">
        <v>91534</v>
      </c>
      <c r="B1752" s="840" t="s">
        <v>2743</v>
      </c>
      <c r="C1752" s="293" t="s">
        <v>87</v>
      </c>
      <c r="D1752" s="1018" t="s">
        <v>1256</v>
      </c>
      <c r="E1752" s="846">
        <v>2E-3</v>
      </c>
      <c r="F1752" s="835">
        <v>15.57</v>
      </c>
      <c r="G1752" s="358">
        <f t="shared" ref="G1752" si="89">TRUNC(E1752*F1752,2)</f>
        <v>0.03</v>
      </c>
      <c r="H1752" s="122"/>
    </row>
    <row r="1753" spans="1:8">
      <c r="C1753" s="124"/>
      <c r="D1753" s="122"/>
      <c r="E1753" s="359"/>
      <c r="F1753" s="360" t="s">
        <v>90</v>
      </c>
      <c r="G1753" s="322">
        <f>SUM(G1747,G1749)</f>
        <v>1.6400000000000001</v>
      </c>
      <c r="H1753" s="122"/>
    </row>
    <row r="1754" spans="1:8">
      <c r="C1754" s="124"/>
      <c r="D1754" s="122"/>
      <c r="E1754" s="361"/>
      <c r="F1754" s="301" t="s">
        <v>92</v>
      </c>
      <c r="G1754" s="312">
        <f>SUM(G1748,G1750,G1751,G1752)</f>
        <v>0.69000000000000006</v>
      </c>
      <c r="H1754" s="122"/>
    </row>
    <row r="1755" spans="1:8">
      <c r="C1755" s="124"/>
      <c r="D1755" s="122"/>
      <c r="E1755" s="361"/>
      <c r="F1755" s="301" t="s">
        <v>93</v>
      </c>
      <c r="G1755" s="820">
        <f>SUM(G1753:G1754)</f>
        <v>2.33</v>
      </c>
      <c r="H1755" s="122"/>
    </row>
    <row r="1756" spans="1:8">
      <c r="A1756" s="362"/>
      <c r="B1756" s="363"/>
      <c r="C1756" s="364"/>
      <c r="D1756" s="362"/>
      <c r="E1756" s="363"/>
      <c r="F1756" s="363"/>
      <c r="G1756" s="363"/>
      <c r="H1756" s="362"/>
    </row>
    <row r="1758" spans="1:8" ht="15" customHeight="1">
      <c r="A1758" s="122" t="s">
        <v>1194</v>
      </c>
      <c r="C1758" s="124"/>
      <c r="D1758" s="122"/>
      <c r="E1758" s="128"/>
      <c r="H1758" s="122"/>
    </row>
    <row r="1759" spans="1:8" ht="12.75" customHeight="1">
      <c r="A1759" s="148" t="s">
        <v>1604</v>
      </c>
      <c r="C1759" s="124"/>
      <c r="D1759" s="122"/>
      <c r="E1759" s="128"/>
      <c r="H1759" s="122"/>
    </row>
    <row r="1760" spans="1:8" ht="27" customHeight="1">
      <c r="A1760" s="352" t="s">
        <v>1450</v>
      </c>
      <c r="B1760" s="1161" t="s">
        <v>1527</v>
      </c>
      <c r="C1760" s="1161"/>
      <c r="D1760" s="1161"/>
      <c r="E1760" s="393" t="s">
        <v>391</v>
      </c>
      <c r="G1760" s="353"/>
      <c r="H1760" s="122"/>
    </row>
    <row r="1761" spans="1:8" ht="20.399999999999999">
      <c r="A1761" s="309" t="s">
        <v>30</v>
      </c>
      <c r="B1761" s="354" t="s">
        <v>19</v>
      </c>
      <c r="C1761" s="293" t="s">
        <v>81</v>
      </c>
      <c r="D1761" s="294" t="s">
        <v>77</v>
      </c>
      <c r="E1761" s="294" t="s">
        <v>82</v>
      </c>
      <c r="F1761" s="295" t="s">
        <v>83</v>
      </c>
      <c r="G1761" s="355" t="s">
        <v>84</v>
      </c>
      <c r="H1761" s="122"/>
    </row>
    <row r="1762" spans="1:8" ht="20.399999999999999">
      <c r="A1762" s="365" t="s">
        <v>1605</v>
      </c>
      <c r="B1762" s="356" t="s">
        <v>1606</v>
      </c>
      <c r="C1762" s="293" t="s">
        <v>87</v>
      </c>
      <c r="D1762" s="294" t="s">
        <v>391</v>
      </c>
      <c r="E1762" s="357">
        <v>1.1000000000000001</v>
      </c>
      <c r="F1762" s="349">
        <v>1</v>
      </c>
      <c r="G1762" s="358">
        <f t="shared" ref="G1762:G1763" si="90">TRUNC(E1762*F1762,2)</f>
        <v>1.1000000000000001</v>
      </c>
      <c r="H1762" s="122"/>
    </row>
    <row r="1763" spans="1:8" ht="15" customHeight="1">
      <c r="A1763" s="365" t="s">
        <v>1607</v>
      </c>
      <c r="B1763" s="500" t="s">
        <v>1608</v>
      </c>
      <c r="C1763" s="293" t="s">
        <v>87</v>
      </c>
      <c r="D1763" s="294" t="s">
        <v>1319</v>
      </c>
      <c r="E1763" s="461">
        <v>1.6000000000000001E-3</v>
      </c>
      <c r="F1763" s="295">
        <v>8.92</v>
      </c>
      <c r="G1763" s="358">
        <f t="shared" si="90"/>
        <v>0.01</v>
      </c>
      <c r="H1763" s="122"/>
    </row>
    <row r="1764" spans="1:8" ht="15" customHeight="1">
      <c r="A1764" s="1141">
        <v>88247</v>
      </c>
      <c r="B1764" s="1129" t="s">
        <v>1038</v>
      </c>
      <c r="C1764" s="293" t="s">
        <v>104</v>
      </c>
      <c r="D1764" s="1131" t="s">
        <v>383</v>
      </c>
      <c r="E1764" s="1165">
        <v>7.1999999999999995E-2</v>
      </c>
      <c r="F1764" s="298">
        <f>G287</f>
        <v>10.98</v>
      </c>
      <c r="G1764" s="358">
        <f>TRUNC(E1764*F1764,2)</f>
        <v>0.79</v>
      </c>
      <c r="H1764" s="122"/>
    </row>
    <row r="1765" spans="1:8" ht="15" customHeight="1">
      <c r="A1765" s="1142"/>
      <c r="B1765" s="1130"/>
      <c r="C1765" s="293" t="s">
        <v>87</v>
      </c>
      <c r="D1765" s="1131"/>
      <c r="E1765" s="1166"/>
      <c r="F1765" s="298">
        <f>G288</f>
        <v>4.75</v>
      </c>
      <c r="G1765" s="312">
        <f>TRUNC(E1764*F1765,2)</f>
        <v>0.34</v>
      </c>
      <c r="H1765" s="122"/>
    </row>
    <row r="1766" spans="1:8" ht="15" customHeight="1">
      <c r="A1766" s="1141">
        <v>88264</v>
      </c>
      <c r="B1766" s="1129" t="s">
        <v>279</v>
      </c>
      <c r="C1766" s="293" t="s">
        <v>104</v>
      </c>
      <c r="D1766" s="1131" t="s">
        <v>383</v>
      </c>
      <c r="E1766" s="1165">
        <v>7.1999999999999995E-2</v>
      </c>
      <c r="F1766" s="298">
        <f>G253</f>
        <v>15.71</v>
      </c>
      <c r="G1766" s="312">
        <f>TRUNC(E1766*F1766,2)</f>
        <v>1.1299999999999999</v>
      </c>
      <c r="H1766" s="122"/>
    </row>
    <row r="1767" spans="1:8" ht="15" customHeight="1">
      <c r="A1767" s="1142"/>
      <c r="B1767" s="1130"/>
      <c r="C1767" s="293" t="s">
        <v>87</v>
      </c>
      <c r="D1767" s="1131"/>
      <c r="E1767" s="1166"/>
      <c r="F1767" s="298">
        <f>G254</f>
        <v>4.8099999999999996</v>
      </c>
      <c r="G1767" s="312">
        <f>TRUNC(E1766*F1767,2)</f>
        <v>0.34</v>
      </c>
      <c r="H1767" s="122"/>
    </row>
    <row r="1768" spans="1:8" ht="15" customHeight="1">
      <c r="C1768" s="124"/>
      <c r="D1768" s="122"/>
      <c r="E1768" s="359"/>
      <c r="F1768" s="360" t="s">
        <v>90</v>
      </c>
      <c r="G1768" s="322">
        <f>G1764+G1766</f>
        <v>1.92</v>
      </c>
      <c r="H1768" s="122"/>
    </row>
    <row r="1769" spans="1:8" ht="15" customHeight="1">
      <c r="C1769" s="124"/>
      <c r="D1769" s="122"/>
      <c r="E1769" s="361"/>
      <c r="F1769" s="301" t="s">
        <v>92</v>
      </c>
      <c r="G1769" s="312">
        <f>G1762+G1763+G1765+G1767</f>
        <v>1.7900000000000003</v>
      </c>
      <c r="H1769" s="122"/>
    </row>
    <row r="1770" spans="1:8" ht="15" customHeight="1">
      <c r="C1770" s="124"/>
      <c r="D1770" s="122"/>
      <c r="E1770" s="361"/>
      <c r="F1770" s="301" t="s">
        <v>93</v>
      </c>
      <c r="G1770" s="313">
        <f>SUM(G1768:G1769)</f>
        <v>3.71</v>
      </c>
      <c r="H1770" s="122"/>
    </row>
    <row r="1771" spans="1:8">
      <c r="A1771" s="362"/>
      <c r="B1771" s="363"/>
      <c r="C1771" s="364"/>
      <c r="D1771" s="362"/>
      <c r="E1771" s="363"/>
      <c r="F1771" s="363"/>
      <c r="G1771" s="363"/>
      <c r="H1771" s="362"/>
    </row>
    <row r="1773" spans="1:8">
      <c r="A1773" s="122" t="s">
        <v>1194</v>
      </c>
      <c r="C1773" s="124"/>
      <c r="D1773" s="122"/>
      <c r="E1773" s="128"/>
      <c r="H1773" s="122"/>
    </row>
    <row r="1774" spans="1:8">
      <c r="A1774" s="148" t="s">
        <v>1609</v>
      </c>
      <c r="C1774" s="124"/>
      <c r="D1774" s="122"/>
      <c r="E1774" s="128"/>
      <c r="H1774" s="122"/>
    </row>
    <row r="1775" spans="1:8" ht="24.75" customHeight="1">
      <c r="A1775" s="352" t="s">
        <v>1450</v>
      </c>
      <c r="B1775" s="1161" t="s">
        <v>1528</v>
      </c>
      <c r="C1775" s="1161"/>
      <c r="D1775" s="1161"/>
      <c r="E1775" s="393" t="s">
        <v>391</v>
      </c>
      <c r="G1775" s="353"/>
      <c r="H1775" s="122"/>
    </row>
    <row r="1776" spans="1:8" ht="20.399999999999999">
      <c r="A1776" s="309" t="s">
        <v>30</v>
      </c>
      <c r="B1776" s="354" t="s">
        <v>19</v>
      </c>
      <c r="C1776" s="293" t="s">
        <v>81</v>
      </c>
      <c r="D1776" s="294" t="s">
        <v>77</v>
      </c>
      <c r="E1776" s="294" t="s">
        <v>82</v>
      </c>
      <c r="F1776" s="295" t="s">
        <v>83</v>
      </c>
      <c r="G1776" s="355" t="s">
        <v>84</v>
      </c>
      <c r="H1776" s="122"/>
    </row>
    <row r="1777" spans="1:8" ht="20.399999999999999">
      <c r="A1777" s="365" t="s">
        <v>1605</v>
      </c>
      <c r="B1777" s="356" t="s">
        <v>1606</v>
      </c>
      <c r="C1777" s="293" t="s">
        <v>87</v>
      </c>
      <c r="D1777" s="294" t="s">
        <v>391</v>
      </c>
      <c r="E1777" s="357">
        <v>1.0169999999999999</v>
      </c>
      <c r="F1777" s="349">
        <v>1</v>
      </c>
      <c r="G1777" s="358">
        <f t="shared" ref="G1777" si="91">TRUNC(E1777*F1777,2)</f>
        <v>1.01</v>
      </c>
      <c r="H1777" s="122"/>
    </row>
    <row r="1778" spans="1:8" ht="15" customHeight="1">
      <c r="A1778" s="1141">
        <v>88247</v>
      </c>
      <c r="B1778" s="1129" t="s">
        <v>1038</v>
      </c>
      <c r="C1778" s="293" t="s">
        <v>104</v>
      </c>
      <c r="D1778" s="1131" t="s">
        <v>383</v>
      </c>
      <c r="E1778" s="1162">
        <v>0.129</v>
      </c>
      <c r="F1778" s="298">
        <f>G287</f>
        <v>10.98</v>
      </c>
      <c r="G1778" s="358">
        <f>TRUNC(E1778*F1778,2)</f>
        <v>1.41</v>
      </c>
      <c r="H1778" s="122"/>
    </row>
    <row r="1779" spans="1:8" ht="15" customHeight="1">
      <c r="A1779" s="1142"/>
      <c r="B1779" s="1130"/>
      <c r="C1779" s="293" t="s">
        <v>87</v>
      </c>
      <c r="D1779" s="1131"/>
      <c r="E1779" s="1163"/>
      <c r="F1779" s="298">
        <f>G288</f>
        <v>4.75</v>
      </c>
      <c r="G1779" s="312">
        <f>TRUNC(E1778*F1779,2)</f>
        <v>0.61</v>
      </c>
      <c r="H1779" s="122"/>
    </row>
    <row r="1780" spans="1:8" ht="15" customHeight="1">
      <c r="A1780" s="1141">
        <v>88264</v>
      </c>
      <c r="B1780" s="1129" t="s">
        <v>279</v>
      </c>
      <c r="C1780" s="293" t="s">
        <v>104</v>
      </c>
      <c r="D1780" s="1131" t="s">
        <v>383</v>
      </c>
      <c r="E1780" s="1162">
        <v>0.129</v>
      </c>
      <c r="F1780" s="298">
        <f>G253</f>
        <v>15.71</v>
      </c>
      <c r="G1780" s="312">
        <f>TRUNC(E1780*F1780,2)</f>
        <v>2.02</v>
      </c>
      <c r="H1780" s="122"/>
    </row>
    <row r="1781" spans="1:8" ht="15" customHeight="1">
      <c r="A1781" s="1142"/>
      <c r="B1781" s="1130"/>
      <c r="C1781" s="293" t="s">
        <v>87</v>
      </c>
      <c r="D1781" s="1131"/>
      <c r="E1781" s="1163"/>
      <c r="F1781" s="298">
        <f>G254</f>
        <v>4.8099999999999996</v>
      </c>
      <c r="G1781" s="312">
        <f>TRUNC(E1780*F1781,2)</f>
        <v>0.62</v>
      </c>
      <c r="H1781" s="122"/>
    </row>
    <row r="1782" spans="1:8" ht="15" customHeight="1">
      <c r="C1782" s="124"/>
      <c r="D1782" s="122"/>
      <c r="E1782" s="359"/>
      <c r="F1782" s="360" t="s">
        <v>90</v>
      </c>
      <c r="G1782" s="322">
        <f>G1778+G1780</f>
        <v>3.4299999999999997</v>
      </c>
      <c r="H1782" s="122"/>
    </row>
    <row r="1783" spans="1:8" ht="15" customHeight="1">
      <c r="C1783" s="124"/>
      <c r="D1783" s="122"/>
      <c r="E1783" s="361"/>
      <c r="F1783" s="301" t="s">
        <v>92</v>
      </c>
      <c r="G1783" s="312">
        <f>G1777+G1779+G1781</f>
        <v>2.2400000000000002</v>
      </c>
      <c r="H1783" s="122"/>
    </row>
    <row r="1784" spans="1:8" ht="15" customHeight="1">
      <c r="C1784" s="124"/>
      <c r="D1784" s="122"/>
      <c r="E1784" s="361"/>
      <c r="F1784" s="301" t="s">
        <v>93</v>
      </c>
      <c r="G1784" s="313">
        <f>SUM(G1782:G1783)</f>
        <v>5.67</v>
      </c>
      <c r="H1784" s="122"/>
    </row>
    <row r="1785" spans="1:8">
      <c r="A1785" s="362"/>
      <c r="B1785" s="363"/>
      <c r="C1785" s="364"/>
      <c r="D1785" s="362"/>
      <c r="E1785" s="363"/>
      <c r="F1785" s="363"/>
      <c r="G1785" s="363"/>
      <c r="H1785" s="362"/>
    </row>
    <row r="1787" spans="1:8">
      <c r="A1787" s="122" t="s">
        <v>1194</v>
      </c>
      <c r="C1787" s="124"/>
      <c r="D1787" s="122"/>
      <c r="E1787" s="128"/>
      <c r="H1787" s="122"/>
    </row>
    <row r="1788" spans="1:8" ht="15" customHeight="1">
      <c r="A1788" s="148" t="s">
        <v>1610</v>
      </c>
      <c r="C1788" s="124"/>
      <c r="D1788" s="122"/>
      <c r="E1788" s="128"/>
      <c r="H1788" s="122"/>
    </row>
    <row r="1789" spans="1:8" ht="28.5" customHeight="1">
      <c r="A1789" s="352" t="s">
        <v>1450</v>
      </c>
      <c r="B1789" s="1161" t="s">
        <v>1529</v>
      </c>
      <c r="C1789" s="1161"/>
      <c r="D1789" s="1161"/>
      <c r="E1789" s="393" t="s">
        <v>391</v>
      </c>
      <c r="G1789" s="353"/>
      <c r="H1789" s="122"/>
    </row>
    <row r="1790" spans="1:8" ht="20.399999999999999">
      <c r="A1790" s="309" t="s">
        <v>30</v>
      </c>
      <c r="B1790" s="354" t="s">
        <v>19</v>
      </c>
      <c r="C1790" s="293" t="s">
        <v>81</v>
      </c>
      <c r="D1790" s="294" t="s">
        <v>77</v>
      </c>
      <c r="E1790" s="294" t="s">
        <v>82</v>
      </c>
      <c r="F1790" s="295" t="s">
        <v>83</v>
      </c>
      <c r="G1790" s="355" t="s">
        <v>84</v>
      </c>
      <c r="H1790" s="122"/>
    </row>
    <row r="1791" spans="1:8" ht="30.6">
      <c r="A1791" s="365" t="s">
        <v>1611</v>
      </c>
      <c r="B1791" s="356" t="s">
        <v>1612</v>
      </c>
      <c r="C1791" s="293" t="s">
        <v>87</v>
      </c>
      <c r="D1791" s="294" t="s">
        <v>391</v>
      </c>
      <c r="E1791" s="357">
        <v>1.19</v>
      </c>
      <c r="F1791" s="349">
        <v>0.68</v>
      </c>
      <c r="G1791" s="358">
        <f t="shared" ref="G1791:G1792" si="92">TRUNC(E1791*F1791,2)</f>
        <v>0.8</v>
      </c>
      <c r="H1791" s="122"/>
    </row>
    <row r="1792" spans="1:8" ht="20.399999999999999">
      <c r="A1792" s="365" t="s">
        <v>1035</v>
      </c>
      <c r="B1792" s="356" t="s">
        <v>1036</v>
      </c>
      <c r="C1792" s="293" t="s">
        <v>87</v>
      </c>
      <c r="D1792" s="294" t="s">
        <v>381</v>
      </c>
      <c r="E1792" s="461">
        <v>8.9999999999999993E-3</v>
      </c>
      <c r="F1792" s="349">
        <v>3.4</v>
      </c>
      <c r="G1792" s="358">
        <f t="shared" si="92"/>
        <v>0.03</v>
      </c>
      <c r="H1792" s="122"/>
    </row>
    <row r="1793" spans="1:8" ht="15" customHeight="1">
      <c r="A1793" s="1141">
        <v>88247</v>
      </c>
      <c r="B1793" s="1129" t="s">
        <v>1038</v>
      </c>
      <c r="C1793" s="293" t="s">
        <v>104</v>
      </c>
      <c r="D1793" s="1131" t="s">
        <v>383</v>
      </c>
      <c r="E1793" s="1165">
        <v>2.4E-2</v>
      </c>
      <c r="F1793" s="298">
        <f>G287</f>
        <v>10.98</v>
      </c>
      <c r="G1793" s="358">
        <f>TRUNC(E1793*F1793,2)</f>
        <v>0.26</v>
      </c>
      <c r="H1793" s="122"/>
    </row>
    <row r="1794" spans="1:8" ht="15" customHeight="1">
      <c r="A1794" s="1142"/>
      <c r="B1794" s="1130"/>
      <c r="C1794" s="293" t="s">
        <v>87</v>
      </c>
      <c r="D1794" s="1131"/>
      <c r="E1794" s="1166"/>
      <c r="F1794" s="298">
        <f>G288</f>
        <v>4.75</v>
      </c>
      <c r="G1794" s="312">
        <f>TRUNC(E1793*F1794,2)</f>
        <v>0.11</v>
      </c>
      <c r="H1794" s="122"/>
    </row>
    <row r="1795" spans="1:8" ht="15" customHeight="1">
      <c r="A1795" s="1141">
        <v>88264</v>
      </c>
      <c r="B1795" s="1129" t="s">
        <v>279</v>
      </c>
      <c r="C1795" s="293" t="s">
        <v>104</v>
      </c>
      <c r="D1795" s="1131" t="s">
        <v>383</v>
      </c>
      <c r="E1795" s="1165">
        <v>2.4E-2</v>
      </c>
      <c r="F1795" s="298">
        <f>G253</f>
        <v>15.71</v>
      </c>
      <c r="G1795" s="312">
        <f>TRUNC(E1795*F1795,2)</f>
        <v>0.37</v>
      </c>
      <c r="H1795" s="122"/>
    </row>
    <row r="1796" spans="1:8" ht="15" customHeight="1">
      <c r="A1796" s="1142"/>
      <c r="B1796" s="1130"/>
      <c r="C1796" s="293" t="s">
        <v>87</v>
      </c>
      <c r="D1796" s="1131"/>
      <c r="E1796" s="1166"/>
      <c r="F1796" s="298">
        <f>G254</f>
        <v>4.8099999999999996</v>
      </c>
      <c r="G1796" s="312">
        <f>TRUNC(E1795*F1796,2)</f>
        <v>0.11</v>
      </c>
      <c r="H1796" s="122"/>
    </row>
    <row r="1797" spans="1:8" ht="15" customHeight="1">
      <c r="C1797" s="124"/>
      <c r="D1797" s="122"/>
      <c r="E1797" s="359"/>
      <c r="F1797" s="360" t="s">
        <v>90</v>
      </c>
      <c r="G1797" s="322">
        <f>G1793+G1795</f>
        <v>0.63</v>
      </c>
      <c r="H1797" s="122"/>
    </row>
    <row r="1798" spans="1:8" ht="15" customHeight="1">
      <c r="C1798" s="124"/>
      <c r="D1798" s="122"/>
      <c r="E1798" s="361"/>
      <c r="F1798" s="301" t="s">
        <v>92</v>
      </c>
      <c r="G1798" s="312">
        <f>G1791+G1792+G1794+G1796</f>
        <v>1.05</v>
      </c>
      <c r="H1798" s="122"/>
    </row>
    <row r="1799" spans="1:8" ht="15" customHeight="1">
      <c r="C1799" s="124"/>
      <c r="D1799" s="122"/>
      <c r="E1799" s="361"/>
      <c r="F1799" s="301" t="s">
        <v>93</v>
      </c>
      <c r="G1799" s="313">
        <f>SUM(G1797:G1798)</f>
        <v>1.6800000000000002</v>
      </c>
      <c r="H1799" s="122"/>
    </row>
    <row r="1800" spans="1:8">
      <c r="A1800" s="362"/>
      <c r="B1800" s="363"/>
      <c r="C1800" s="364"/>
      <c r="D1800" s="362"/>
      <c r="E1800" s="363"/>
      <c r="F1800" s="363"/>
      <c r="G1800" s="363"/>
      <c r="H1800" s="362"/>
    </row>
    <row r="1802" spans="1:8">
      <c r="A1802" s="122" t="s">
        <v>1194</v>
      </c>
      <c r="C1802" s="124"/>
      <c r="D1802" s="122"/>
      <c r="E1802" s="128"/>
      <c r="H1802" s="122"/>
    </row>
    <row r="1803" spans="1:8">
      <c r="A1803" s="148" t="s">
        <v>1613</v>
      </c>
      <c r="C1803" s="124"/>
      <c r="D1803" s="122"/>
      <c r="E1803" s="128"/>
      <c r="H1803" s="122"/>
    </row>
    <row r="1804" spans="1:8" ht="24" customHeight="1">
      <c r="A1804" s="352" t="s">
        <v>1450</v>
      </c>
      <c r="B1804" s="1161" t="s">
        <v>1530</v>
      </c>
      <c r="C1804" s="1161"/>
      <c r="D1804" s="1161"/>
      <c r="E1804" s="353" t="s">
        <v>391</v>
      </c>
      <c r="G1804" s="353"/>
      <c r="H1804" s="122"/>
    </row>
    <row r="1805" spans="1:8" ht="20.399999999999999">
      <c r="A1805" s="309" t="s">
        <v>30</v>
      </c>
      <c r="B1805" s="354" t="s">
        <v>19</v>
      </c>
      <c r="C1805" s="293" t="s">
        <v>81</v>
      </c>
      <c r="D1805" s="294" t="s">
        <v>77</v>
      </c>
      <c r="E1805" s="294" t="s">
        <v>82</v>
      </c>
      <c r="F1805" s="295" t="s">
        <v>83</v>
      </c>
      <c r="G1805" s="355" t="s">
        <v>84</v>
      </c>
      <c r="H1805" s="122"/>
    </row>
    <row r="1806" spans="1:8" ht="30.6">
      <c r="A1806" s="365">
        <v>1014</v>
      </c>
      <c r="B1806" s="356" t="s">
        <v>1614</v>
      </c>
      <c r="C1806" s="293" t="s">
        <v>87</v>
      </c>
      <c r="D1806" s="294" t="s">
        <v>391</v>
      </c>
      <c r="E1806" s="357">
        <v>1.19</v>
      </c>
      <c r="F1806" s="349">
        <v>1.1299999999999999</v>
      </c>
      <c r="G1806" s="358">
        <f t="shared" ref="G1806:G1807" si="93">TRUNC(E1806*F1806,2)</f>
        <v>1.34</v>
      </c>
      <c r="H1806" s="122"/>
    </row>
    <row r="1807" spans="1:8" ht="20.399999999999999">
      <c r="A1807" s="365" t="s">
        <v>1035</v>
      </c>
      <c r="B1807" s="356" t="s">
        <v>1036</v>
      </c>
      <c r="C1807" s="293" t="s">
        <v>87</v>
      </c>
      <c r="D1807" s="294" t="s">
        <v>381</v>
      </c>
      <c r="E1807" s="461">
        <v>8.9999999999999993E-3</v>
      </c>
      <c r="F1807" s="349">
        <v>3.4</v>
      </c>
      <c r="G1807" s="358">
        <f t="shared" si="93"/>
        <v>0.03</v>
      </c>
      <c r="H1807" s="122"/>
    </row>
    <row r="1808" spans="1:8" ht="15" customHeight="1">
      <c r="A1808" s="1141">
        <v>88247</v>
      </c>
      <c r="B1808" s="1129" t="s">
        <v>1038</v>
      </c>
      <c r="C1808" s="293" t="s">
        <v>104</v>
      </c>
      <c r="D1808" s="1131" t="s">
        <v>383</v>
      </c>
      <c r="E1808" s="1165">
        <v>0.03</v>
      </c>
      <c r="F1808" s="298">
        <f>G287</f>
        <v>10.98</v>
      </c>
      <c r="G1808" s="358">
        <f>TRUNC(E1808*F1808,2)</f>
        <v>0.32</v>
      </c>
      <c r="H1808" s="122"/>
    </row>
    <row r="1809" spans="1:8" ht="15" customHeight="1">
      <c r="A1809" s="1142"/>
      <c r="B1809" s="1130"/>
      <c r="C1809" s="293" t="s">
        <v>87</v>
      </c>
      <c r="D1809" s="1131"/>
      <c r="E1809" s="1166"/>
      <c r="F1809" s="298">
        <f>G288</f>
        <v>4.75</v>
      </c>
      <c r="G1809" s="312">
        <f>TRUNC(E1808*F1809,2)</f>
        <v>0.14000000000000001</v>
      </c>
      <c r="H1809" s="122"/>
    </row>
    <row r="1810" spans="1:8" ht="15" customHeight="1">
      <c r="A1810" s="1141">
        <v>88264</v>
      </c>
      <c r="B1810" s="1129" t="s">
        <v>279</v>
      </c>
      <c r="C1810" s="293" t="s">
        <v>104</v>
      </c>
      <c r="D1810" s="1131" t="s">
        <v>383</v>
      </c>
      <c r="E1810" s="1165">
        <v>0.03</v>
      </c>
      <c r="F1810" s="298">
        <f>G253</f>
        <v>15.71</v>
      </c>
      <c r="G1810" s="312">
        <f>TRUNC(E1810*F1810,2)</f>
        <v>0.47</v>
      </c>
      <c r="H1810" s="122"/>
    </row>
    <row r="1811" spans="1:8" ht="15" customHeight="1">
      <c r="A1811" s="1142"/>
      <c r="B1811" s="1130"/>
      <c r="C1811" s="293" t="s">
        <v>87</v>
      </c>
      <c r="D1811" s="1131"/>
      <c r="E1811" s="1166"/>
      <c r="F1811" s="298">
        <f>G254</f>
        <v>4.8099999999999996</v>
      </c>
      <c r="G1811" s="312">
        <f>TRUNC(E1810*F1811,2)</f>
        <v>0.14000000000000001</v>
      </c>
      <c r="H1811" s="122"/>
    </row>
    <row r="1812" spans="1:8" ht="15" customHeight="1">
      <c r="C1812" s="124"/>
      <c r="D1812" s="122"/>
      <c r="E1812" s="359"/>
      <c r="F1812" s="360" t="s">
        <v>90</v>
      </c>
      <c r="G1812" s="322">
        <f>G1808+G1810</f>
        <v>0.79</v>
      </c>
      <c r="H1812" s="122"/>
    </row>
    <row r="1813" spans="1:8" ht="15" customHeight="1">
      <c r="C1813" s="124"/>
      <c r="D1813" s="122"/>
      <c r="E1813" s="361"/>
      <c r="F1813" s="301" t="s">
        <v>92</v>
      </c>
      <c r="G1813" s="312">
        <f>G1806+G1807+G1809+G1811</f>
        <v>1.6500000000000004</v>
      </c>
      <c r="H1813" s="122"/>
    </row>
    <row r="1814" spans="1:8" ht="15" customHeight="1">
      <c r="C1814" s="124"/>
      <c r="D1814" s="122"/>
      <c r="E1814" s="361"/>
      <c r="F1814" s="301" t="s">
        <v>93</v>
      </c>
      <c r="G1814" s="313">
        <f>SUM(G1812:G1813)</f>
        <v>2.4400000000000004</v>
      </c>
      <c r="H1814" s="122"/>
    </row>
    <row r="1815" spans="1:8">
      <c r="A1815" s="362"/>
      <c r="B1815" s="363"/>
      <c r="C1815" s="364"/>
      <c r="D1815" s="362"/>
      <c r="E1815" s="363"/>
      <c r="F1815" s="363"/>
      <c r="G1815" s="363"/>
      <c r="H1815" s="362"/>
    </row>
    <row r="1817" spans="1:8">
      <c r="A1817" s="122" t="s">
        <v>1194</v>
      </c>
      <c r="C1817" s="124"/>
      <c r="D1817" s="122"/>
      <c r="E1817" s="128"/>
      <c r="H1817" s="122"/>
    </row>
    <row r="1818" spans="1:8" ht="15" customHeight="1">
      <c r="A1818" s="879" t="s">
        <v>2797</v>
      </c>
      <c r="C1818" s="124"/>
      <c r="D1818" s="122"/>
      <c r="E1818" s="128"/>
      <c r="H1818" s="122"/>
    </row>
    <row r="1819" spans="1:8" ht="28.5" customHeight="1">
      <c r="A1819" s="352" t="s">
        <v>1450</v>
      </c>
      <c r="B1819" s="1161" t="s">
        <v>2790</v>
      </c>
      <c r="C1819" s="1161"/>
      <c r="D1819" s="1161"/>
      <c r="E1819" s="393" t="s">
        <v>391</v>
      </c>
      <c r="G1819" s="353"/>
      <c r="H1819" s="122"/>
    </row>
    <row r="1820" spans="1:8" ht="20.399999999999999">
      <c r="A1820" s="804" t="s">
        <v>30</v>
      </c>
      <c r="B1820" s="354" t="s">
        <v>19</v>
      </c>
      <c r="C1820" s="293" t="s">
        <v>81</v>
      </c>
      <c r="D1820" s="803" t="s">
        <v>77</v>
      </c>
      <c r="E1820" s="803" t="s">
        <v>82</v>
      </c>
      <c r="F1820" s="862" t="s">
        <v>83</v>
      </c>
      <c r="G1820" s="355" t="s">
        <v>84</v>
      </c>
      <c r="H1820" s="122"/>
    </row>
    <row r="1821" spans="1:8" ht="22.5" customHeight="1">
      <c r="A1821" s="801" t="s">
        <v>2791</v>
      </c>
      <c r="B1821" s="802" t="s">
        <v>2793</v>
      </c>
      <c r="C1821" s="293" t="s">
        <v>87</v>
      </c>
      <c r="D1821" s="803" t="s">
        <v>391</v>
      </c>
      <c r="E1821" s="800">
        <v>1</v>
      </c>
      <c r="F1821" s="837">
        <v>7.64</v>
      </c>
      <c r="G1821" s="358">
        <f t="shared" ref="G1821" si="94">TRUNC(E1821*F1821,2)</f>
        <v>7.64</v>
      </c>
      <c r="H1821" s="122"/>
    </row>
    <row r="1822" spans="1:8" ht="15" customHeight="1">
      <c r="A1822" s="1141">
        <v>88247</v>
      </c>
      <c r="B1822" s="1129" t="s">
        <v>1038</v>
      </c>
      <c r="C1822" s="293" t="s">
        <v>104</v>
      </c>
      <c r="D1822" s="1131" t="s">
        <v>383</v>
      </c>
      <c r="E1822" s="1165">
        <v>0.15</v>
      </c>
      <c r="F1822" s="825">
        <v>10.99</v>
      </c>
      <c r="G1822" s="358">
        <f>TRUNC(E1822*F1822,2)</f>
        <v>1.64</v>
      </c>
      <c r="H1822" s="122"/>
    </row>
    <row r="1823" spans="1:8" ht="15" customHeight="1">
      <c r="A1823" s="1142"/>
      <c r="B1823" s="1130"/>
      <c r="C1823" s="293" t="s">
        <v>87</v>
      </c>
      <c r="D1823" s="1131"/>
      <c r="E1823" s="1166"/>
      <c r="F1823" s="825">
        <v>4.8099999999999996</v>
      </c>
      <c r="G1823" s="312">
        <f>TRUNC(E1822*F1823,2)</f>
        <v>0.72</v>
      </c>
      <c r="H1823" s="122"/>
    </row>
    <row r="1824" spans="1:8" ht="15" customHeight="1">
      <c r="A1824" s="1141">
        <v>88264</v>
      </c>
      <c r="B1824" s="1129" t="s">
        <v>279</v>
      </c>
      <c r="C1824" s="293" t="s">
        <v>104</v>
      </c>
      <c r="D1824" s="1131" t="s">
        <v>383</v>
      </c>
      <c r="E1824" s="1165">
        <v>0.15</v>
      </c>
      <c r="F1824" s="825">
        <v>15.71</v>
      </c>
      <c r="G1824" s="312">
        <f>TRUNC(E1824*F1824,2)</f>
        <v>2.35</v>
      </c>
      <c r="H1824" s="122"/>
    </row>
    <row r="1825" spans="1:8" ht="15" customHeight="1">
      <c r="A1825" s="1142"/>
      <c r="B1825" s="1130"/>
      <c r="C1825" s="293" t="s">
        <v>87</v>
      </c>
      <c r="D1825" s="1131"/>
      <c r="E1825" s="1166"/>
      <c r="F1825" s="825">
        <v>4.8099999999999996</v>
      </c>
      <c r="G1825" s="312">
        <f>TRUNC(E1824*F1825,2)</f>
        <v>0.72</v>
      </c>
      <c r="H1825" s="122"/>
    </row>
    <row r="1826" spans="1:8" ht="15" customHeight="1">
      <c r="C1826" s="124"/>
      <c r="D1826" s="122"/>
      <c r="E1826" s="359"/>
      <c r="F1826" s="360" t="s">
        <v>90</v>
      </c>
      <c r="G1826" s="322">
        <f>G1822+G1824</f>
        <v>3.99</v>
      </c>
      <c r="H1826" s="122"/>
    </row>
    <row r="1827" spans="1:8" ht="15" customHeight="1">
      <c r="C1827" s="124"/>
      <c r="D1827" s="122"/>
      <c r="E1827" s="361"/>
      <c r="F1827" s="301" t="s">
        <v>92</v>
      </c>
      <c r="G1827" s="312">
        <f>G1821+G1823+G1825</f>
        <v>9.08</v>
      </c>
      <c r="H1827" s="122"/>
    </row>
    <row r="1828" spans="1:8" ht="15" customHeight="1">
      <c r="C1828" s="124"/>
      <c r="D1828" s="122"/>
      <c r="E1828" s="361"/>
      <c r="F1828" s="301" t="s">
        <v>93</v>
      </c>
      <c r="G1828" s="820">
        <f>SUM(G1826:G1827)</f>
        <v>13.07</v>
      </c>
      <c r="H1828" s="122"/>
    </row>
    <row r="1829" spans="1:8">
      <c r="A1829" s="362"/>
      <c r="B1829" s="363"/>
      <c r="C1829" s="364"/>
      <c r="D1829" s="362"/>
      <c r="E1829" s="363"/>
      <c r="F1829" s="363"/>
      <c r="G1829" s="363"/>
      <c r="H1829" s="362"/>
    </row>
    <row r="1831" spans="1:8">
      <c r="A1831" s="122" t="s">
        <v>1194</v>
      </c>
      <c r="C1831" s="124"/>
      <c r="D1831" s="122"/>
      <c r="E1831" s="128"/>
      <c r="H1831" s="122"/>
    </row>
    <row r="1832" spans="1:8" ht="15" customHeight="1">
      <c r="A1832" s="879" t="s">
        <v>2798</v>
      </c>
      <c r="C1832" s="124"/>
      <c r="D1832" s="122"/>
      <c r="E1832" s="128"/>
      <c r="H1832" s="122"/>
    </row>
    <row r="1833" spans="1:8" ht="28.5" customHeight="1">
      <c r="A1833" s="352" t="s">
        <v>1450</v>
      </c>
      <c r="B1833" s="1161" t="s">
        <v>2799</v>
      </c>
      <c r="C1833" s="1161"/>
      <c r="D1833" s="1161"/>
      <c r="E1833" s="393" t="s">
        <v>391</v>
      </c>
      <c r="G1833" s="353"/>
      <c r="H1833" s="122"/>
    </row>
    <row r="1834" spans="1:8" ht="20.399999999999999">
      <c r="A1834" s="804" t="s">
        <v>30</v>
      </c>
      <c r="B1834" s="354" t="s">
        <v>19</v>
      </c>
      <c r="C1834" s="293" t="s">
        <v>81</v>
      </c>
      <c r="D1834" s="803" t="s">
        <v>77</v>
      </c>
      <c r="E1834" s="803" t="s">
        <v>82</v>
      </c>
      <c r="F1834" s="862" t="s">
        <v>83</v>
      </c>
      <c r="G1834" s="355" t="s">
        <v>84</v>
      </c>
      <c r="H1834" s="122"/>
    </row>
    <row r="1835" spans="1:8">
      <c r="A1835" s="801" t="s">
        <v>2796</v>
      </c>
      <c r="B1835" s="802" t="s">
        <v>2792</v>
      </c>
      <c r="C1835" s="293" t="s">
        <v>87</v>
      </c>
      <c r="D1835" s="803" t="s">
        <v>381</v>
      </c>
      <c r="E1835" s="805">
        <v>1</v>
      </c>
      <c r="F1835" s="837">
        <v>3.74</v>
      </c>
      <c r="G1835" s="358">
        <f t="shared" ref="G1835" si="95">TRUNC(E1835*F1835,2)</f>
        <v>3.74</v>
      </c>
      <c r="H1835" s="122"/>
    </row>
    <row r="1836" spans="1:8" ht="15" customHeight="1">
      <c r="A1836" s="1141">
        <v>88247</v>
      </c>
      <c r="B1836" s="1129" t="s">
        <v>1038</v>
      </c>
      <c r="C1836" s="293" t="s">
        <v>104</v>
      </c>
      <c r="D1836" s="1131" t="s">
        <v>383</v>
      </c>
      <c r="E1836" s="1165">
        <v>0.1</v>
      </c>
      <c r="F1836" s="825">
        <v>10.99</v>
      </c>
      <c r="G1836" s="358">
        <f>TRUNC(E1836*F1836,2)</f>
        <v>1.0900000000000001</v>
      </c>
      <c r="H1836" s="122"/>
    </row>
    <row r="1837" spans="1:8" ht="15" customHeight="1">
      <c r="A1837" s="1142"/>
      <c r="B1837" s="1130"/>
      <c r="C1837" s="293" t="s">
        <v>87</v>
      </c>
      <c r="D1837" s="1131"/>
      <c r="E1837" s="1166"/>
      <c r="F1837" s="825">
        <v>4.8099999999999996</v>
      </c>
      <c r="G1837" s="312">
        <f>TRUNC(E1836*F1837,2)</f>
        <v>0.48</v>
      </c>
      <c r="H1837" s="122"/>
    </row>
    <row r="1838" spans="1:8" ht="15" customHeight="1">
      <c r="A1838" s="1141">
        <v>88264</v>
      </c>
      <c r="B1838" s="1129" t="s">
        <v>279</v>
      </c>
      <c r="C1838" s="293" t="s">
        <v>104</v>
      </c>
      <c r="D1838" s="1131" t="s">
        <v>383</v>
      </c>
      <c r="E1838" s="1165">
        <v>0.1</v>
      </c>
      <c r="F1838" s="825">
        <v>15.71</v>
      </c>
      <c r="G1838" s="312">
        <f>TRUNC(E1838*F1838,2)</f>
        <v>1.57</v>
      </c>
      <c r="H1838" s="122"/>
    </row>
    <row r="1839" spans="1:8" ht="15" customHeight="1">
      <c r="A1839" s="1142"/>
      <c r="B1839" s="1130"/>
      <c r="C1839" s="293" t="s">
        <v>87</v>
      </c>
      <c r="D1839" s="1131"/>
      <c r="E1839" s="1166"/>
      <c r="F1839" s="825">
        <v>4.8099999999999996</v>
      </c>
      <c r="G1839" s="312">
        <f>TRUNC(E1838*F1839,2)</f>
        <v>0.48</v>
      </c>
      <c r="H1839" s="122"/>
    </row>
    <row r="1840" spans="1:8" ht="15" customHeight="1">
      <c r="C1840" s="124"/>
      <c r="D1840" s="122"/>
      <c r="E1840" s="359"/>
      <c r="F1840" s="360" t="s">
        <v>90</v>
      </c>
      <c r="G1840" s="322">
        <f>G1836+G1838</f>
        <v>2.66</v>
      </c>
      <c r="H1840" s="122"/>
    </row>
    <row r="1841" spans="1:8" ht="15" customHeight="1">
      <c r="C1841" s="124"/>
      <c r="D1841" s="122"/>
      <c r="E1841" s="361"/>
      <c r="F1841" s="301" t="s">
        <v>92</v>
      </c>
      <c r="G1841" s="312">
        <f>G1835+G1837+G1839</f>
        <v>4.7000000000000011</v>
      </c>
      <c r="H1841" s="122"/>
    </row>
    <row r="1842" spans="1:8" ht="15" customHeight="1">
      <c r="C1842" s="124"/>
      <c r="D1842" s="122"/>
      <c r="E1842" s="361"/>
      <c r="F1842" s="301" t="s">
        <v>93</v>
      </c>
      <c r="G1842" s="820">
        <f>SUM(G1840:G1841)</f>
        <v>7.3600000000000012</v>
      </c>
      <c r="H1842" s="122"/>
    </row>
    <row r="1843" spans="1:8">
      <c r="A1843" s="362"/>
      <c r="B1843" s="363"/>
      <c r="C1843" s="364"/>
      <c r="D1843" s="362"/>
      <c r="E1843" s="363"/>
      <c r="F1843" s="363"/>
      <c r="G1843" s="363"/>
      <c r="H1843" s="362"/>
    </row>
    <row r="1845" spans="1:8">
      <c r="A1845" s="122" t="s">
        <v>2709</v>
      </c>
      <c r="C1845" s="124"/>
      <c r="D1845" s="122"/>
      <c r="E1845" s="128"/>
      <c r="H1845" s="122"/>
    </row>
    <row r="1846" spans="1:8" ht="15" customHeight="1">
      <c r="A1846" s="879" t="s">
        <v>3070</v>
      </c>
      <c r="C1846" s="124"/>
      <c r="D1846" s="122"/>
      <c r="E1846" s="128"/>
      <c r="H1846" s="122"/>
    </row>
    <row r="1847" spans="1:8" ht="28.5" customHeight="1">
      <c r="A1847" s="352" t="s">
        <v>1450</v>
      </c>
      <c r="B1847" s="1282" t="s">
        <v>2800</v>
      </c>
      <c r="C1847" s="1282"/>
      <c r="D1847" s="1282"/>
      <c r="E1847" s="393" t="s">
        <v>391</v>
      </c>
      <c r="G1847" s="353"/>
      <c r="H1847" s="122"/>
    </row>
    <row r="1848" spans="1:8" ht="20.399999999999999">
      <c r="A1848" s="804" t="s">
        <v>30</v>
      </c>
      <c r="B1848" s="354" t="s">
        <v>19</v>
      </c>
      <c r="C1848" s="293" t="s">
        <v>81</v>
      </c>
      <c r="D1848" s="803" t="s">
        <v>77</v>
      </c>
      <c r="E1848" s="803" t="s">
        <v>82</v>
      </c>
      <c r="F1848" s="862" t="s">
        <v>83</v>
      </c>
      <c r="G1848" s="355" t="s">
        <v>84</v>
      </c>
      <c r="H1848" s="122"/>
    </row>
    <row r="1849" spans="1:8" ht="22.5" customHeight="1">
      <c r="A1849" s="801" t="s">
        <v>2791</v>
      </c>
      <c r="B1849" s="802" t="s">
        <v>2801</v>
      </c>
      <c r="C1849" s="293" t="s">
        <v>87</v>
      </c>
      <c r="D1849" s="803" t="s">
        <v>391</v>
      </c>
      <c r="E1849" s="800">
        <v>1</v>
      </c>
      <c r="F1849" s="837">
        <v>80.12</v>
      </c>
      <c r="G1849" s="358">
        <f t="shared" ref="G1849" si="96">TRUNC(E1849*F1849,2)</f>
        <v>80.12</v>
      </c>
      <c r="H1849" s="122"/>
    </row>
    <row r="1850" spans="1:8" ht="15" customHeight="1">
      <c r="A1850" s="1141">
        <v>88247</v>
      </c>
      <c r="B1850" s="1129" t="s">
        <v>1038</v>
      </c>
      <c r="C1850" s="293" t="s">
        <v>104</v>
      </c>
      <c r="D1850" s="1131" t="s">
        <v>383</v>
      </c>
      <c r="E1850" s="1165">
        <v>1.66E-2</v>
      </c>
      <c r="F1850" s="825">
        <v>10.99</v>
      </c>
      <c r="G1850" s="358">
        <f>TRUNC(E1850*F1850,2)</f>
        <v>0.18</v>
      </c>
      <c r="H1850" s="122"/>
    </row>
    <row r="1851" spans="1:8" ht="15" customHeight="1">
      <c r="A1851" s="1142"/>
      <c r="B1851" s="1130"/>
      <c r="C1851" s="293" t="s">
        <v>87</v>
      </c>
      <c r="D1851" s="1131"/>
      <c r="E1851" s="1166"/>
      <c r="F1851" s="825">
        <v>4.8099999999999996</v>
      </c>
      <c r="G1851" s="312">
        <f>TRUNC(E1850*F1851,2)</f>
        <v>7.0000000000000007E-2</v>
      </c>
      <c r="H1851" s="122"/>
    </row>
    <row r="1852" spans="1:8" ht="15" customHeight="1">
      <c r="A1852" s="1141">
        <v>88264</v>
      </c>
      <c r="B1852" s="1129" t="s">
        <v>279</v>
      </c>
      <c r="C1852" s="293" t="s">
        <v>104</v>
      </c>
      <c r="D1852" s="1131" t="s">
        <v>383</v>
      </c>
      <c r="E1852" s="1165">
        <v>0.16600000000000001</v>
      </c>
      <c r="F1852" s="825">
        <v>15.71</v>
      </c>
      <c r="G1852" s="312">
        <f>TRUNC(E1852*F1852,2)</f>
        <v>2.6</v>
      </c>
      <c r="H1852" s="122"/>
    </row>
    <row r="1853" spans="1:8" ht="15" customHeight="1">
      <c r="A1853" s="1142"/>
      <c r="B1853" s="1130"/>
      <c r="C1853" s="293" t="s">
        <v>87</v>
      </c>
      <c r="D1853" s="1131"/>
      <c r="E1853" s="1166"/>
      <c r="F1853" s="825">
        <v>4.8099999999999996</v>
      </c>
      <c r="G1853" s="312">
        <f>TRUNC(E1852*F1853,2)</f>
        <v>0.79</v>
      </c>
      <c r="H1853" s="122"/>
    </row>
    <row r="1854" spans="1:8" ht="15" customHeight="1">
      <c r="C1854" s="124"/>
      <c r="D1854" s="122"/>
      <c r="E1854" s="359"/>
      <c r="F1854" s="360" t="s">
        <v>90</v>
      </c>
      <c r="G1854" s="322">
        <f>G1850+G1852</f>
        <v>2.7800000000000002</v>
      </c>
      <c r="H1854" s="122"/>
    </row>
    <row r="1855" spans="1:8" ht="15" customHeight="1">
      <c r="C1855" s="124"/>
      <c r="D1855" s="122"/>
      <c r="E1855" s="361"/>
      <c r="F1855" s="301" t="s">
        <v>92</v>
      </c>
      <c r="G1855" s="312">
        <f>G1849+G1851+G1853</f>
        <v>80.98</v>
      </c>
      <c r="H1855" s="122"/>
    </row>
    <row r="1856" spans="1:8" ht="15" customHeight="1">
      <c r="C1856" s="124"/>
      <c r="D1856" s="122"/>
      <c r="E1856" s="361"/>
      <c r="F1856" s="301" t="s">
        <v>93</v>
      </c>
      <c r="G1856" s="820">
        <f>SUM(G1854:G1855)</f>
        <v>83.76</v>
      </c>
      <c r="H1856" s="122"/>
    </row>
    <row r="1857" spans="1:8">
      <c r="A1857" s="362"/>
      <c r="B1857" s="363"/>
      <c r="C1857" s="364"/>
      <c r="D1857" s="362"/>
      <c r="E1857" s="363"/>
      <c r="F1857" s="363"/>
      <c r="G1857" s="363"/>
      <c r="H1857" s="362"/>
    </row>
    <row r="1859" spans="1:8">
      <c r="A1859" s="122" t="s">
        <v>2709</v>
      </c>
      <c r="C1859" s="124"/>
      <c r="D1859" s="122"/>
      <c r="E1859" s="128"/>
      <c r="H1859" s="122"/>
    </row>
    <row r="1860" spans="1:8" ht="15" customHeight="1">
      <c r="A1860" s="879" t="s">
        <v>3073</v>
      </c>
      <c r="C1860" s="124"/>
      <c r="D1860" s="122"/>
      <c r="E1860" s="128"/>
      <c r="H1860" s="122"/>
    </row>
    <row r="1861" spans="1:8" ht="23.25" customHeight="1">
      <c r="A1861" s="352" t="s">
        <v>1450</v>
      </c>
      <c r="B1861" s="1282" t="s">
        <v>2807</v>
      </c>
      <c r="C1861" s="1282"/>
      <c r="D1861" s="1282"/>
      <c r="E1861" s="393" t="s">
        <v>2713</v>
      </c>
      <c r="G1861" s="353"/>
      <c r="H1861" s="122"/>
    </row>
    <row r="1862" spans="1:8" ht="20.399999999999999">
      <c r="A1862" s="804" t="s">
        <v>30</v>
      </c>
      <c r="B1862" s="354" t="s">
        <v>19</v>
      </c>
      <c r="C1862" s="293" t="s">
        <v>81</v>
      </c>
      <c r="D1862" s="803" t="s">
        <v>77</v>
      </c>
      <c r="E1862" s="803" t="s">
        <v>82</v>
      </c>
      <c r="F1862" s="862" t="s">
        <v>83</v>
      </c>
      <c r="G1862" s="355" t="s">
        <v>84</v>
      </c>
      <c r="H1862" s="122"/>
    </row>
    <row r="1863" spans="1:8" ht="22.5" customHeight="1">
      <c r="A1863" s="801" t="s">
        <v>2791</v>
      </c>
      <c r="B1863" s="802" t="s">
        <v>2808</v>
      </c>
      <c r="C1863" s="293" t="s">
        <v>87</v>
      </c>
      <c r="D1863" s="803" t="s">
        <v>391</v>
      </c>
      <c r="E1863" s="800">
        <v>1</v>
      </c>
      <c r="F1863" s="837">
        <v>11</v>
      </c>
      <c r="G1863" s="358">
        <f t="shared" ref="G1863" si="97">TRUNC(E1863*F1863,2)</f>
        <v>11</v>
      </c>
      <c r="H1863" s="122"/>
    </row>
    <row r="1864" spans="1:8" ht="15" customHeight="1">
      <c r="A1864" s="1141">
        <v>88247</v>
      </c>
      <c r="B1864" s="1129" t="s">
        <v>110</v>
      </c>
      <c r="C1864" s="293" t="s">
        <v>104</v>
      </c>
      <c r="D1864" s="1131" t="s">
        <v>383</v>
      </c>
      <c r="E1864" s="1165">
        <v>8.3000000000000004E-2</v>
      </c>
      <c r="F1864" s="825">
        <v>11.18</v>
      </c>
      <c r="G1864" s="358">
        <f>TRUNC(E1864*F1864,2)</f>
        <v>0.92</v>
      </c>
      <c r="H1864" s="122"/>
    </row>
    <row r="1865" spans="1:8" ht="15" customHeight="1">
      <c r="A1865" s="1142"/>
      <c r="B1865" s="1130"/>
      <c r="C1865" s="293" t="s">
        <v>87</v>
      </c>
      <c r="D1865" s="1131"/>
      <c r="E1865" s="1166"/>
      <c r="F1865" s="825">
        <v>4.7300000000000004</v>
      </c>
      <c r="G1865" s="312">
        <f>TRUNC(E1864*F1865,2)</f>
        <v>0.39</v>
      </c>
      <c r="H1865" s="122"/>
    </row>
    <row r="1866" spans="1:8" ht="15" customHeight="1">
      <c r="A1866" s="1141">
        <v>88264</v>
      </c>
      <c r="B1866" s="1129" t="s">
        <v>118</v>
      </c>
      <c r="C1866" s="293" t="s">
        <v>104</v>
      </c>
      <c r="D1866" s="1131" t="s">
        <v>383</v>
      </c>
      <c r="E1866" s="1165">
        <v>8.3000000000000004E-2</v>
      </c>
      <c r="F1866" s="825">
        <v>15.02</v>
      </c>
      <c r="G1866" s="312">
        <f>TRUNC(E1866*F1866,2)</f>
        <v>1.24</v>
      </c>
      <c r="H1866" s="122"/>
    </row>
    <row r="1867" spans="1:8" ht="15" customHeight="1">
      <c r="A1867" s="1142"/>
      <c r="B1867" s="1130"/>
      <c r="C1867" s="293" t="s">
        <v>87</v>
      </c>
      <c r="D1867" s="1131"/>
      <c r="E1867" s="1166"/>
      <c r="F1867" s="825">
        <v>4.79</v>
      </c>
      <c r="G1867" s="312">
        <f>TRUNC(E1866*F1867,2)</f>
        <v>0.39</v>
      </c>
      <c r="H1867" s="122"/>
    </row>
    <row r="1868" spans="1:8" ht="15" customHeight="1">
      <c r="C1868" s="124"/>
      <c r="D1868" s="122"/>
      <c r="E1868" s="359"/>
      <c r="F1868" s="360" t="s">
        <v>90</v>
      </c>
      <c r="G1868" s="322">
        <f>G1864+G1866</f>
        <v>2.16</v>
      </c>
      <c r="H1868" s="122"/>
    </row>
    <row r="1869" spans="1:8" ht="15" customHeight="1">
      <c r="C1869" s="124"/>
      <c r="D1869" s="122"/>
      <c r="E1869" s="361"/>
      <c r="F1869" s="301" t="s">
        <v>92</v>
      </c>
      <c r="G1869" s="312">
        <f>G1863+G1865+G1867</f>
        <v>11.780000000000001</v>
      </c>
      <c r="H1869" s="122"/>
    </row>
    <row r="1870" spans="1:8" ht="15" customHeight="1">
      <c r="C1870" s="124"/>
      <c r="D1870" s="122"/>
      <c r="E1870" s="361"/>
      <c r="F1870" s="301" t="s">
        <v>93</v>
      </c>
      <c r="G1870" s="820">
        <f>SUM(G1868:G1869)</f>
        <v>13.940000000000001</v>
      </c>
      <c r="H1870" s="122"/>
    </row>
    <row r="1871" spans="1:8">
      <c r="A1871" s="362"/>
      <c r="B1871" s="363"/>
      <c r="C1871" s="364"/>
      <c r="D1871" s="362"/>
      <c r="E1871" s="363"/>
      <c r="F1871" s="363"/>
      <c r="G1871" s="363"/>
      <c r="H1871" s="362"/>
    </row>
    <row r="1873" spans="1:8">
      <c r="A1873" s="122" t="s">
        <v>2709</v>
      </c>
      <c r="C1873" s="124"/>
      <c r="D1873" s="122"/>
      <c r="E1873" s="128"/>
      <c r="H1873" s="122"/>
    </row>
    <row r="1874" spans="1:8" ht="15" customHeight="1">
      <c r="A1874" s="879" t="s">
        <v>3089</v>
      </c>
      <c r="B1874" s="128" t="s">
        <v>79</v>
      </c>
      <c r="C1874" s="124"/>
      <c r="D1874" s="122"/>
      <c r="E1874" s="128"/>
      <c r="H1874" s="122"/>
    </row>
    <row r="1875" spans="1:8" ht="23.25" customHeight="1">
      <c r="A1875" s="352" t="s">
        <v>1450</v>
      </c>
      <c r="B1875" s="1282" t="s">
        <v>2809</v>
      </c>
      <c r="C1875" s="1282"/>
      <c r="D1875" s="1282"/>
      <c r="E1875" s="393" t="s">
        <v>2713</v>
      </c>
      <c r="G1875" s="353"/>
      <c r="H1875" s="122"/>
    </row>
    <row r="1876" spans="1:8" ht="20.399999999999999">
      <c r="A1876" s="804" t="s">
        <v>30</v>
      </c>
      <c r="B1876" s="354" t="s">
        <v>19</v>
      </c>
      <c r="C1876" s="293" t="s">
        <v>81</v>
      </c>
      <c r="D1876" s="803" t="s">
        <v>77</v>
      </c>
      <c r="E1876" s="803" t="s">
        <v>82</v>
      </c>
      <c r="F1876" s="862" t="s">
        <v>83</v>
      </c>
      <c r="G1876" s="355" t="s">
        <v>84</v>
      </c>
      <c r="H1876" s="122"/>
    </row>
    <row r="1877" spans="1:8" ht="22.5" customHeight="1">
      <c r="A1877" s="801" t="s">
        <v>2811</v>
      </c>
      <c r="B1877" s="802" t="s">
        <v>2810</v>
      </c>
      <c r="C1877" s="293" t="s">
        <v>87</v>
      </c>
      <c r="D1877" s="803" t="s">
        <v>2534</v>
      </c>
      <c r="E1877" s="800">
        <v>1</v>
      </c>
      <c r="F1877" s="837">
        <v>11.33</v>
      </c>
      <c r="G1877" s="358">
        <f t="shared" ref="G1877" si="98">TRUNC(E1877*F1877,2)</f>
        <v>11.33</v>
      </c>
      <c r="H1877" s="122"/>
    </row>
    <row r="1878" spans="1:8" ht="35.25" customHeight="1">
      <c r="A1878" s="801">
        <v>346</v>
      </c>
      <c r="B1878" s="802" t="s">
        <v>2812</v>
      </c>
      <c r="C1878" s="293" t="s">
        <v>87</v>
      </c>
      <c r="D1878" s="803" t="s">
        <v>1319</v>
      </c>
      <c r="E1878" s="800">
        <v>3.1259999999999999</v>
      </c>
      <c r="F1878" s="837">
        <v>15.63</v>
      </c>
      <c r="G1878" s="358">
        <f>TRUNC(E1878*F1878,2)</f>
        <v>48.85</v>
      </c>
      <c r="H1878" s="122"/>
    </row>
    <row r="1879" spans="1:8" ht="15" customHeight="1">
      <c r="A1879" s="1141">
        <v>88247</v>
      </c>
      <c r="B1879" s="1129" t="s">
        <v>110</v>
      </c>
      <c r="C1879" s="293" t="s">
        <v>104</v>
      </c>
      <c r="D1879" s="1131" t="s">
        <v>383</v>
      </c>
      <c r="E1879" s="1165">
        <v>0.5</v>
      </c>
      <c r="F1879" s="825">
        <v>11.18</v>
      </c>
      <c r="G1879" s="358">
        <f>TRUNC(E1879*F1879,2)</f>
        <v>5.59</v>
      </c>
      <c r="H1879" s="122"/>
    </row>
    <row r="1880" spans="1:8" ht="15" customHeight="1">
      <c r="A1880" s="1142"/>
      <c r="B1880" s="1130"/>
      <c r="C1880" s="293" t="s">
        <v>87</v>
      </c>
      <c r="D1880" s="1131"/>
      <c r="E1880" s="1166"/>
      <c r="F1880" s="825">
        <v>4.7300000000000004</v>
      </c>
      <c r="G1880" s="312">
        <f>TRUNC(E1879*F1880,2)</f>
        <v>2.36</v>
      </c>
      <c r="H1880" s="122"/>
    </row>
    <row r="1881" spans="1:8" ht="15" customHeight="1">
      <c r="A1881" s="1141">
        <v>88317</v>
      </c>
      <c r="B1881" s="1129" t="s">
        <v>1713</v>
      </c>
      <c r="C1881" s="293" t="s">
        <v>104</v>
      </c>
      <c r="D1881" s="1131" t="s">
        <v>383</v>
      </c>
      <c r="E1881" s="1165">
        <v>0.5</v>
      </c>
      <c r="F1881" s="825">
        <v>14.62</v>
      </c>
      <c r="G1881" s="312">
        <f>TRUNC(E1881*F1881,2)</f>
        <v>7.31</v>
      </c>
      <c r="H1881" s="122"/>
    </row>
    <row r="1882" spans="1:8" ht="15" customHeight="1">
      <c r="A1882" s="1142"/>
      <c r="B1882" s="1130"/>
      <c r="C1882" s="293" t="s">
        <v>87</v>
      </c>
      <c r="D1882" s="1131"/>
      <c r="E1882" s="1166"/>
      <c r="F1882" s="825">
        <v>4.8499999999999996</v>
      </c>
      <c r="G1882" s="312">
        <f>TRUNC(E1881*F1882,2)</f>
        <v>2.42</v>
      </c>
      <c r="H1882" s="122"/>
    </row>
    <row r="1883" spans="1:8" ht="15" customHeight="1">
      <c r="C1883" s="124"/>
      <c r="D1883" s="122"/>
      <c r="E1883" s="359"/>
      <c r="F1883" s="360" t="s">
        <v>90</v>
      </c>
      <c r="G1883" s="322">
        <f>G1879+G1881</f>
        <v>12.899999999999999</v>
      </c>
      <c r="H1883" s="122"/>
    </row>
    <row r="1884" spans="1:8" ht="15" customHeight="1">
      <c r="C1884" s="124"/>
      <c r="D1884" s="122"/>
      <c r="E1884" s="361"/>
      <c r="F1884" s="301" t="s">
        <v>92</v>
      </c>
      <c r="G1884" s="312">
        <f>G1877+G1880+G1882</f>
        <v>16.11</v>
      </c>
      <c r="H1884" s="122"/>
    </row>
    <row r="1885" spans="1:8" ht="15" customHeight="1">
      <c r="C1885" s="124"/>
      <c r="D1885" s="122"/>
      <c r="E1885" s="361"/>
      <c r="F1885" s="301" t="s">
        <v>93</v>
      </c>
      <c r="G1885" s="820">
        <f>SUM(G1883:G1884)</f>
        <v>29.009999999999998</v>
      </c>
      <c r="H1885" s="122"/>
    </row>
    <row r="1886" spans="1:8">
      <c r="A1886" s="362"/>
      <c r="B1886" s="363"/>
      <c r="C1886" s="364"/>
      <c r="D1886" s="362"/>
      <c r="E1886" s="363"/>
      <c r="F1886" s="363"/>
      <c r="G1886" s="363"/>
      <c r="H1886" s="362"/>
    </row>
    <row r="1888" spans="1:8">
      <c r="A1888" s="122" t="s">
        <v>1194</v>
      </c>
      <c r="C1888" s="124"/>
      <c r="D1888" s="122"/>
      <c r="E1888" s="128"/>
      <c r="H1888" s="122"/>
    </row>
    <row r="1889" spans="1:8">
      <c r="A1889" s="148" t="s">
        <v>1615</v>
      </c>
      <c r="C1889" s="124"/>
      <c r="D1889" s="122"/>
      <c r="E1889" s="128"/>
      <c r="H1889" s="122"/>
    </row>
    <row r="1890" spans="1:8" ht="24.75" customHeight="1">
      <c r="A1890" s="352" t="s">
        <v>1450</v>
      </c>
      <c r="B1890" s="1161" t="s">
        <v>1531</v>
      </c>
      <c r="C1890" s="1161"/>
      <c r="D1890" s="1161"/>
      <c r="E1890" s="353" t="s">
        <v>1452</v>
      </c>
      <c r="G1890" s="353"/>
      <c r="H1890" s="122"/>
    </row>
    <row r="1891" spans="1:8" ht="20.399999999999999">
      <c r="A1891" s="309" t="s">
        <v>30</v>
      </c>
      <c r="B1891" s="354" t="s">
        <v>19</v>
      </c>
      <c r="C1891" s="293" t="s">
        <v>81</v>
      </c>
      <c r="D1891" s="294" t="s">
        <v>77</v>
      </c>
      <c r="E1891" s="294" t="s">
        <v>82</v>
      </c>
      <c r="F1891" s="295" t="s">
        <v>83</v>
      </c>
      <c r="G1891" s="355" t="s">
        <v>84</v>
      </c>
      <c r="H1891" s="122"/>
    </row>
    <row r="1892" spans="1:8" ht="20.399999999999999">
      <c r="A1892" s="365" t="s">
        <v>1616</v>
      </c>
      <c r="B1892" s="356" t="s">
        <v>1617</v>
      </c>
      <c r="C1892" s="293" t="s">
        <v>87</v>
      </c>
      <c r="D1892" s="294" t="s">
        <v>77</v>
      </c>
      <c r="E1892" s="357">
        <v>1</v>
      </c>
      <c r="F1892" s="349">
        <v>2.97</v>
      </c>
      <c r="G1892" s="358">
        <f t="shared" ref="G1892" si="99">TRUNC(E1892*F1892,2)</f>
        <v>2.97</v>
      </c>
      <c r="H1892" s="122"/>
    </row>
    <row r="1893" spans="1:8" ht="15" customHeight="1">
      <c r="A1893" s="1141">
        <v>88247</v>
      </c>
      <c r="B1893" s="1129" t="s">
        <v>1038</v>
      </c>
      <c r="C1893" s="293" t="s">
        <v>104</v>
      </c>
      <c r="D1893" s="1131" t="s">
        <v>383</v>
      </c>
      <c r="E1893" s="1162">
        <v>0.129</v>
      </c>
      <c r="F1893" s="298">
        <f>G287</f>
        <v>10.98</v>
      </c>
      <c r="G1893" s="358">
        <f>TRUNC(E1893*F1893,2)</f>
        <v>1.41</v>
      </c>
      <c r="H1893" s="122"/>
    </row>
    <row r="1894" spans="1:8" ht="15" customHeight="1">
      <c r="A1894" s="1142"/>
      <c r="B1894" s="1130"/>
      <c r="C1894" s="293" t="s">
        <v>87</v>
      </c>
      <c r="D1894" s="1131"/>
      <c r="E1894" s="1163"/>
      <c r="F1894" s="298">
        <f>G288</f>
        <v>4.75</v>
      </c>
      <c r="G1894" s="312">
        <f>TRUNC(E1893*F1894,2)</f>
        <v>0.61</v>
      </c>
      <c r="H1894" s="122"/>
    </row>
    <row r="1895" spans="1:8" ht="15" customHeight="1">
      <c r="A1895" s="1141">
        <v>88264</v>
      </c>
      <c r="B1895" s="1129" t="s">
        <v>279</v>
      </c>
      <c r="C1895" s="293" t="s">
        <v>104</v>
      </c>
      <c r="D1895" s="1131" t="s">
        <v>383</v>
      </c>
      <c r="E1895" s="1162">
        <v>0.129</v>
      </c>
      <c r="F1895" s="298">
        <f>G253</f>
        <v>15.71</v>
      </c>
      <c r="G1895" s="312">
        <f>TRUNC(E1895*F1895,2)</f>
        <v>2.02</v>
      </c>
      <c r="H1895" s="122"/>
    </row>
    <row r="1896" spans="1:8" ht="15" customHeight="1">
      <c r="A1896" s="1142"/>
      <c r="B1896" s="1130"/>
      <c r="C1896" s="293" t="s">
        <v>87</v>
      </c>
      <c r="D1896" s="1131"/>
      <c r="E1896" s="1163"/>
      <c r="F1896" s="298">
        <f>G254</f>
        <v>4.8099999999999996</v>
      </c>
      <c r="G1896" s="312">
        <f>TRUNC(E1895*F1896,2)</f>
        <v>0.62</v>
      </c>
      <c r="H1896" s="122"/>
    </row>
    <row r="1897" spans="1:8" ht="15" customHeight="1">
      <c r="C1897" s="124"/>
      <c r="D1897" s="122"/>
      <c r="E1897" s="359"/>
      <c r="F1897" s="360" t="s">
        <v>90</v>
      </c>
      <c r="G1897" s="322">
        <f>G1893+G1895</f>
        <v>3.4299999999999997</v>
      </c>
      <c r="H1897" s="122"/>
    </row>
    <row r="1898" spans="1:8" ht="15" customHeight="1">
      <c r="C1898" s="124"/>
      <c r="D1898" s="122"/>
      <c r="E1898" s="361"/>
      <c r="F1898" s="301" t="s">
        <v>92</v>
      </c>
      <c r="G1898" s="312">
        <f>G1892+G1894+G1896</f>
        <v>4.2</v>
      </c>
      <c r="H1898" s="122"/>
    </row>
    <row r="1899" spans="1:8" ht="15" customHeight="1">
      <c r="C1899" s="124"/>
      <c r="D1899" s="122"/>
      <c r="E1899" s="361"/>
      <c r="F1899" s="301" t="s">
        <v>93</v>
      </c>
      <c r="G1899" s="313">
        <f>SUM(G1897:G1898)</f>
        <v>7.63</v>
      </c>
      <c r="H1899" s="122"/>
    </row>
    <row r="1900" spans="1:8">
      <c r="A1900" s="362"/>
      <c r="B1900" s="363"/>
      <c r="C1900" s="364"/>
      <c r="D1900" s="362"/>
      <c r="E1900" s="363"/>
      <c r="F1900" s="363"/>
      <c r="G1900" s="363"/>
      <c r="H1900" s="362"/>
    </row>
    <row r="1902" spans="1:8">
      <c r="A1902" s="122" t="s">
        <v>2709</v>
      </c>
      <c r="C1902" s="124"/>
      <c r="D1902" s="122"/>
      <c r="E1902" s="128"/>
      <c r="H1902" s="122"/>
    </row>
    <row r="1903" spans="1:8">
      <c r="A1903" s="879" t="s">
        <v>3064</v>
      </c>
      <c r="C1903" s="124"/>
      <c r="D1903" s="122"/>
      <c r="E1903" s="128"/>
      <c r="H1903" s="122"/>
    </row>
    <row r="1904" spans="1:8" ht="26.25" customHeight="1">
      <c r="A1904" s="352" t="s">
        <v>1450</v>
      </c>
      <c r="B1904" s="1282" t="s">
        <v>2806</v>
      </c>
      <c r="C1904" s="1282"/>
      <c r="D1904" s="1282"/>
      <c r="E1904" s="353" t="s">
        <v>1452</v>
      </c>
      <c r="G1904" s="353"/>
      <c r="H1904" s="122"/>
    </row>
    <row r="1905" spans="1:8" ht="20.399999999999999">
      <c r="A1905" s="804" t="s">
        <v>30</v>
      </c>
      <c r="B1905" s="354" t="s">
        <v>19</v>
      </c>
      <c r="C1905" s="293" t="s">
        <v>81</v>
      </c>
      <c r="D1905" s="803" t="s">
        <v>77</v>
      </c>
      <c r="E1905" s="803" t="s">
        <v>82</v>
      </c>
      <c r="F1905" s="862" t="s">
        <v>83</v>
      </c>
      <c r="G1905" s="355" t="s">
        <v>84</v>
      </c>
      <c r="H1905" s="122"/>
    </row>
    <row r="1906" spans="1:8" ht="24" customHeight="1">
      <c r="A1906" s="801"/>
      <c r="B1906" s="830" t="s">
        <v>2803</v>
      </c>
      <c r="C1906" s="293" t="s">
        <v>87</v>
      </c>
      <c r="D1906" s="803" t="s">
        <v>77</v>
      </c>
      <c r="E1906" s="805">
        <v>4</v>
      </c>
      <c r="F1906" s="862">
        <v>0.05</v>
      </c>
      <c r="G1906" s="358">
        <f>TRUNC(E1906*F1906,2)</f>
        <v>0.2</v>
      </c>
      <c r="H1906" s="122"/>
    </row>
    <row r="1907" spans="1:8" ht="20.399999999999999">
      <c r="A1907" s="801"/>
      <c r="B1907" s="830" t="s">
        <v>2802</v>
      </c>
      <c r="C1907" s="293" t="s">
        <v>87</v>
      </c>
      <c r="D1907" s="803" t="s">
        <v>391</v>
      </c>
      <c r="E1907" s="806">
        <v>1</v>
      </c>
      <c r="F1907" s="862">
        <v>3.13</v>
      </c>
      <c r="G1907" s="355">
        <f>TRUNC(E1907*F1907,2)</f>
        <v>3.13</v>
      </c>
      <c r="H1907" s="122"/>
    </row>
    <row r="1908" spans="1:8" ht="15" customHeight="1">
      <c r="A1908" s="1141" t="s">
        <v>124</v>
      </c>
      <c r="B1908" s="1173" t="s">
        <v>103</v>
      </c>
      <c r="C1908" s="293" t="s">
        <v>104</v>
      </c>
      <c r="D1908" s="1131" t="s">
        <v>383</v>
      </c>
      <c r="E1908" s="1165">
        <v>0.13900000000000001</v>
      </c>
      <c r="F1908" s="298">
        <f>G270</f>
        <v>7.39</v>
      </c>
      <c r="G1908" s="358">
        <f>TRUNC(E1908*F1908,2)</f>
        <v>1.02</v>
      </c>
      <c r="H1908" s="122"/>
    </row>
    <row r="1909" spans="1:8" ht="15" customHeight="1">
      <c r="A1909" s="1142"/>
      <c r="B1909" s="1174"/>
      <c r="C1909" s="293" t="s">
        <v>87</v>
      </c>
      <c r="D1909" s="1131"/>
      <c r="E1909" s="1166"/>
      <c r="F1909" s="298">
        <f>G271</f>
        <v>3.92</v>
      </c>
      <c r="G1909" s="312">
        <f>TRUNC(E1908*F1909,2)</f>
        <v>0.54</v>
      </c>
      <c r="H1909" s="122"/>
    </row>
    <row r="1910" spans="1:8" ht="15" customHeight="1">
      <c r="A1910" s="1141" t="s">
        <v>2804</v>
      </c>
      <c r="B1910" s="1173" t="s">
        <v>2805</v>
      </c>
      <c r="C1910" s="293" t="s">
        <v>104</v>
      </c>
      <c r="D1910" s="1131" t="s">
        <v>383</v>
      </c>
      <c r="E1910" s="1165">
        <v>0.13900000000000001</v>
      </c>
      <c r="F1910" s="298">
        <f>G236</f>
        <v>14.96</v>
      </c>
      <c r="G1910" s="312">
        <f>TRUNC(E1910*F1910,2)</f>
        <v>2.0699999999999998</v>
      </c>
      <c r="H1910" s="122"/>
    </row>
    <row r="1911" spans="1:8" ht="15" customHeight="1">
      <c r="A1911" s="1142"/>
      <c r="B1911" s="1174"/>
      <c r="C1911" s="293" t="s">
        <v>87</v>
      </c>
      <c r="D1911" s="1131"/>
      <c r="E1911" s="1166"/>
      <c r="F1911" s="298">
        <f>G237</f>
        <v>5.96</v>
      </c>
      <c r="G1911" s="312">
        <f>TRUNC(E1910*F1911,2)</f>
        <v>0.82</v>
      </c>
      <c r="H1911" s="122"/>
    </row>
    <row r="1912" spans="1:8" ht="15" customHeight="1">
      <c r="C1912" s="124"/>
      <c r="D1912" s="122"/>
      <c r="E1912" s="359"/>
      <c r="F1912" s="360" t="s">
        <v>90</v>
      </c>
      <c r="G1912" s="322">
        <f>G1908+G1910</f>
        <v>3.09</v>
      </c>
      <c r="H1912" s="122"/>
    </row>
    <row r="1913" spans="1:8" ht="15" customHeight="1">
      <c r="C1913" s="124"/>
      <c r="D1913" s="122"/>
      <c r="E1913" s="361"/>
      <c r="F1913" s="301" t="s">
        <v>92</v>
      </c>
      <c r="G1913" s="312">
        <f>G1907+G1909+G1911</f>
        <v>4.49</v>
      </c>
      <c r="H1913" s="122"/>
    </row>
    <row r="1914" spans="1:8" ht="15" customHeight="1">
      <c r="C1914" s="124"/>
      <c r="D1914" s="122"/>
      <c r="E1914" s="361"/>
      <c r="F1914" s="301" t="s">
        <v>93</v>
      </c>
      <c r="G1914" s="820">
        <f>SUM(G1912:G1913)</f>
        <v>7.58</v>
      </c>
      <c r="H1914" s="122"/>
    </row>
    <row r="1915" spans="1:8">
      <c r="A1915" s="362"/>
      <c r="B1915" s="363"/>
      <c r="C1915" s="364"/>
      <c r="D1915" s="362"/>
      <c r="E1915" s="363"/>
      <c r="F1915" s="363"/>
      <c r="G1915" s="363"/>
      <c r="H1915" s="362"/>
    </row>
    <row r="1916" spans="1:8">
      <c r="A1916" s="362"/>
      <c r="B1916" s="363"/>
      <c r="C1916" s="364"/>
      <c r="D1916" s="362"/>
      <c r="E1916" s="363"/>
      <c r="F1916" s="363"/>
      <c r="G1916" s="363"/>
      <c r="H1916" s="362"/>
    </row>
    <row r="1918" spans="1:8">
      <c r="A1918" s="122" t="s">
        <v>1194</v>
      </c>
      <c r="C1918" s="124"/>
      <c r="D1918" s="122"/>
      <c r="E1918" s="128"/>
      <c r="H1918" s="122"/>
    </row>
    <row r="1919" spans="1:8">
      <c r="A1919" s="148" t="s">
        <v>1618</v>
      </c>
      <c r="C1919" s="124"/>
      <c r="D1919" s="122"/>
      <c r="E1919" s="128"/>
      <c r="H1919" s="122"/>
    </row>
    <row r="1920" spans="1:8" ht="26.25" customHeight="1">
      <c r="A1920" s="352" t="s">
        <v>1450</v>
      </c>
      <c r="B1920" s="1161" t="s">
        <v>1532</v>
      </c>
      <c r="C1920" s="1161"/>
      <c r="D1920" s="1161"/>
      <c r="E1920" s="353" t="s">
        <v>1452</v>
      </c>
      <c r="G1920" s="353"/>
      <c r="H1920" s="122"/>
    </row>
    <row r="1921" spans="1:8" ht="20.399999999999999">
      <c r="A1921" s="309" t="s">
        <v>30</v>
      </c>
      <c r="B1921" s="354" t="s">
        <v>19</v>
      </c>
      <c r="C1921" s="293" t="s">
        <v>81</v>
      </c>
      <c r="D1921" s="294" t="s">
        <v>77</v>
      </c>
      <c r="E1921" s="294" t="s">
        <v>82</v>
      </c>
      <c r="F1921" s="295" t="s">
        <v>83</v>
      </c>
      <c r="G1921" s="355" t="s">
        <v>84</v>
      </c>
      <c r="H1921" s="122"/>
    </row>
    <row r="1922" spans="1:8" ht="20.399999999999999">
      <c r="A1922" s="365" t="s">
        <v>1619</v>
      </c>
      <c r="B1922" s="356" t="s">
        <v>1620</v>
      </c>
      <c r="C1922" s="293" t="s">
        <v>87</v>
      </c>
      <c r="D1922" s="294" t="s">
        <v>77</v>
      </c>
      <c r="E1922" s="341">
        <v>1</v>
      </c>
      <c r="F1922" s="295">
        <v>1.66</v>
      </c>
      <c r="G1922" s="355">
        <f>TRUNC(E1922*F1922,2)</f>
        <v>1.66</v>
      </c>
      <c r="H1922" s="122"/>
    </row>
    <row r="1923" spans="1:8" ht="15" customHeight="1">
      <c r="A1923" s="1141">
        <v>88247</v>
      </c>
      <c r="B1923" s="1129" t="s">
        <v>1038</v>
      </c>
      <c r="C1923" s="293" t="s">
        <v>104</v>
      </c>
      <c r="D1923" s="1131" t="s">
        <v>383</v>
      </c>
      <c r="E1923" s="1165">
        <v>0.247</v>
      </c>
      <c r="F1923" s="298">
        <f>G287</f>
        <v>10.98</v>
      </c>
      <c r="G1923" s="358">
        <f>TRUNC(E1923*F1923,2)</f>
        <v>2.71</v>
      </c>
      <c r="H1923" s="122"/>
    </row>
    <row r="1924" spans="1:8" ht="15" customHeight="1">
      <c r="A1924" s="1142"/>
      <c r="B1924" s="1130"/>
      <c r="C1924" s="293" t="s">
        <v>87</v>
      </c>
      <c r="D1924" s="1131"/>
      <c r="E1924" s="1166"/>
      <c r="F1924" s="298">
        <f>G288</f>
        <v>4.75</v>
      </c>
      <c r="G1924" s="312">
        <f>TRUNC(E1923*F1924,2)</f>
        <v>1.17</v>
      </c>
      <c r="H1924" s="122"/>
    </row>
    <row r="1925" spans="1:8" ht="15" customHeight="1">
      <c r="A1925" s="1141">
        <v>88264</v>
      </c>
      <c r="B1925" s="1129" t="s">
        <v>279</v>
      </c>
      <c r="C1925" s="293" t="s">
        <v>104</v>
      </c>
      <c r="D1925" s="1131" t="s">
        <v>383</v>
      </c>
      <c r="E1925" s="1165">
        <v>0.247</v>
      </c>
      <c r="F1925" s="298">
        <f>G253</f>
        <v>15.71</v>
      </c>
      <c r="G1925" s="312">
        <f>TRUNC(E1925*F1925,2)</f>
        <v>3.88</v>
      </c>
      <c r="H1925" s="122"/>
    </row>
    <row r="1926" spans="1:8" ht="15" customHeight="1">
      <c r="A1926" s="1142"/>
      <c r="B1926" s="1130"/>
      <c r="C1926" s="293" t="s">
        <v>87</v>
      </c>
      <c r="D1926" s="1131"/>
      <c r="E1926" s="1166"/>
      <c r="F1926" s="298">
        <f>G254</f>
        <v>4.8099999999999996</v>
      </c>
      <c r="G1926" s="312">
        <f>TRUNC(E1925*F1926,2)</f>
        <v>1.18</v>
      </c>
      <c r="H1926" s="122"/>
    </row>
    <row r="1927" spans="1:8" ht="15" customHeight="1">
      <c r="A1927" s="1141">
        <v>88629</v>
      </c>
      <c r="B1927" s="1129" t="s">
        <v>1600</v>
      </c>
      <c r="C1927" s="293" t="s">
        <v>104</v>
      </c>
      <c r="D1927" s="1153" t="s">
        <v>1316</v>
      </c>
      <c r="E1927" s="1165">
        <v>8.9999999999999998E-4</v>
      </c>
      <c r="F1927" s="298">
        <f>G1651</f>
        <v>94.8</v>
      </c>
      <c r="G1927" s="312">
        <f>TRUNC(E1927*F1927,2)</f>
        <v>0.08</v>
      </c>
      <c r="H1927" s="122"/>
    </row>
    <row r="1928" spans="1:8" ht="15" customHeight="1">
      <c r="A1928" s="1142"/>
      <c r="B1928" s="1130"/>
      <c r="C1928" s="293" t="s">
        <v>87</v>
      </c>
      <c r="D1928" s="1154"/>
      <c r="E1928" s="1166"/>
      <c r="F1928" s="298">
        <f>G1652</f>
        <v>321.12</v>
      </c>
      <c r="G1928" s="312">
        <f t="shared" ref="G1928" si="100">TRUNC(E1927*F1928,2)</f>
        <v>0.28000000000000003</v>
      </c>
      <c r="H1928" s="122"/>
    </row>
    <row r="1929" spans="1:8" ht="15" customHeight="1">
      <c r="C1929" s="124"/>
      <c r="D1929" s="122"/>
      <c r="E1929" s="359"/>
      <c r="F1929" s="360" t="s">
        <v>90</v>
      </c>
      <c r="G1929" s="322">
        <f>G1923+G1925+G1927</f>
        <v>6.67</v>
      </c>
      <c r="H1929" s="122"/>
    </row>
    <row r="1930" spans="1:8" ht="15" customHeight="1">
      <c r="C1930" s="124"/>
      <c r="D1930" s="122"/>
      <c r="E1930" s="361"/>
      <c r="F1930" s="301" t="s">
        <v>92</v>
      </c>
      <c r="G1930" s="312">
        <f>G1922+G1924+G1926+G1928</f>
        <v>4.29</v>
      </c>
      <c r="H1930" s="122"/>
    </row>
    <row r="1931" spans="1:8" ht="15" customHeight="1">
      <c r="C1931" s="124"/>
      <c r="D1931" s="122"/>
      <c r="E1931" s="361"/>
      <c r="F1931" s="301" t="s">
        <v>93</v>
      </c>
      <c r="G1931" s="313">
        <f>SUM(G1929:G1930)</f>
        <v>10.96</v>
      </c>
      <c r="H1931" s="122"/>
    </row>
    <row r="1932" spans="1:8">
      <c r="A1932" s="362"/>
      <c r="B1932" s="363"/>
      <c r="C1932" s="364"/>
      <c r="D1932" s="362"/>
      <c r="E1932" s="363"/>
      <c r="F1932" s="363"/>
      <c r="G1932" s="363"/>
      <c r="H1932" s="362"/>
    </row>
    <row r="1934" spans="1:8">
      <c r="A1934" s="122" t="s">
        <v>1194</v>
      </c>
      <c r="C1934" s="124"/>
      <c r="D1934" s="122"/>
      <c r="E1934" s="128"/>
      <c r="H1934" s="122"/>
    </row>
    <row r="1935" spans="1:8" ht="15" customHeight="1">
      <c r="A1935" s="148" t="s">
        <v>1941</v>
      </c>
      <c r="C1935" s="124"/>
      <c r="D1935" s="122"/>
      <c r="E1935" s="128"/>
      <c r="H1935" s="122"/>
    </row>
    <row r="1936" spans="1:8" ht="21" customHeight="1">
      <c r="A1936" s="352" t="s">
        <v>1450</v>
      </c>
      <c r="B1936" s="1161" t="s">
        <v>1940</v>
      </c>
      <c r="C1936" s="1161"/>
      <c r="D1936" s="1161"/>
      <c r="E1936" s="353" t="s">
        <v>1452</v>
      </c>
      <c r="G1936" s="353"/>
      <c r="H1936" s="122"/>
    </row>
    <row r="1937" spans="1:8" ht="20.399999999999999">
      <c r="A1937" s="309" t="s">
        <v>30</v>
      </c>
      <c r="B1937" s="354"/>
      <c r="C1937" s="293" t="s">
        <v>81</v>
      </c>
      <c r="D1937" s="294" t="s">
        <v>77</v>
      </c>
      <c r="E1937" s="294" t="s">
        <v>82</v>
      </c>
      <c r="F1937" s="295" t="s">
        <v>83</v>
      </c>
      <c r="G1937" s="355" t="s">
        <v>84</v>
      </c>
      <c r="H1937" s="122"/>
    </row>
    <row r="1938" spans="1:8" ht="18" customHeight="1">
      <c r="A1938" s="1141">
        <v>91946</v>
      </c>
      <c r="B1938" s="1129" t="s">
        <v>1621</v>
      </c>
      <c r="C1938" s="293" t="s">
        <v>104</v>
      </c>
      <c r="D1938" s="1131" t="s">
        <v>77</v>
      </c>
      <c r="E1938" s="1165">
        <v>1</v>
      </c>
      <c r="F1938" s="298">
        <f>G1955</f>
        <v>2.92</v>
      </c>
      <c r="G1938" s="358">
        <f>TRUNC(E1938*F1938,2)</f>
        <v>2.92</v>
      </c>
      <c r="H1938" s="122"/>
    </row>
    <row r="1939" spans="1:8" ht="18" customHeight="1">
      <c r="A1939" s="1142"/>
      <c r="B1939" s="1130"/>
      <c r="C1939" s="293" t="s">
        <v>87</v>
      </c>
      <c r="D1939" s="1131"/>
      <c r="E1939" s="1166"/>
      <c r="F1939" s="298">
        <f>G1956</f>
        <v>3.44</v>
      </c>
      <c r="G1939" s="312">
        <f>TRUNC(E1938*F1939,2)</f>
        <v>3.44</v>
      </c>
      <c r="H1939" s="122"/>
    </row>
    <row r="1940" spans="1:8" ht="18" customHeight="1">
      <c r="A1940" s="1141">
        <v>92002</v>
      </c>
      <c r="B1940" s="1129" t="s">
        <v>1942</v>
      </c>
      <c r="C1940" s="293" t="s">
        <v>104</v>
      </c>
      <c r="D1940" s="1131" t="s">
        <v>77</v>
      </c>
      <c r="E1940" s="1165">
        <v>1</v>
      </c>
      <c r="F1940" s="298">
        <f>G2010</f>
        <v>14.8</v>
      </c>
      <c r="G1940" s="312">
        <f>TRUNC(E1940*F1940,2)</f>
        <v>14.8</v>
      </c>
      <c r="H1940" s="122"/>
    </row>
    <row r="1941" spans="1:8" ht="18" customHeight="1">
      <c r="A1941" s="1142"/>
      <c r="B1941" s="1130"/>
      <c r="C1941" s="293" t="s">
        <v>87</v>
      </c>
      <c r="D1941" s="1131"/>
      <c r="E1941" s="1166"/>
      <c r="F1941" s="298">
        <f>G2011</f>
        <v>14.309999999999999</v>
      </c>
      <c r="G1941" s="312">
        <f>TRUNC(E1940*F1941,2)</f>
        <v>14.31</v>
      </c>
      <c r="H1941" s="122"/>
    </row>
    <row r="1942" spans="1:8" ht="18" customHeight="1">
      <c r="C1942" s="124"/>
      <c r="D1942" s="122"/>
      <c r="E1942" s="359"/>
      <c r="F1942" s="360" t="s">
        <v>90</v>
      </c>
      <c r="G1942" s="322">
        <f>G1938+G1940</f>
        <v>17.72</v>
      </c>
      <c r="H1942" s="122"/>
    </row>
    <row r="1943" spans="1:8" ht="18" customHeight="1">
      <c r="C1943" s="124"/>
      <c r="D1943" s="122"/>
      <c r="E1943" s="361"/>
      <c r="F1943" s="301" t="s">
        <v>92</v>
      </c>
      <c r="G1943" s="312">
        <f>G1939+G1941</f>
        <v>17.75</v>
      </c>
      <c r="H1943" s="122"/>
    </row>
    <row r="1944" spans="1:8" ht="18" customHeight="1">
      <c r="C1944" s="124"/>
      <c r="D1944" s="122"/>
      <c r="E1944" s="361"/>
      <c r="F1944" s="301" t="s">
        <v>93</v>
      </c>
      <c r="G1944" s="313">
        <f>SUM(G1942:G1943)</f>
        <v>35.47</v>
      </c>
      <c r="H1944" s="122"/>
    </row>
    <row r="1945" spans="1:8">
      <c r="A1945" s="362"/>
      <c r="B1945" s="363"/>
      <c r="C1945" s="364"/>
      <c r="D1945" s="362"/>
      <c r="E1945" s="363"/>
      <c r="F1945" s="363"/>
      <c r="G1945" s="363"/>
      <c r="H1945" s="362"/>
    </row>
    <row r="1947" spans="1:8" ht="14.1" customHeight="1">
      <c r="A1947" s="122" t="s">
        <v>1194</v>
      </c>
      <c r="C1947" s="124"/>
      <c r="D1947" s="122"/>
      <c r="E1947" s="128"/>
      <c r="H1947" s="122"/>
    </row>
    <row r="1948" spans="1:8" ht="14.1" customHeight="1">
      <c r="A1948" s="148" t="s">
        <v>1449</v>
      </c>
      <c r="C1948" s="124"/>
      <c r="D1948" s="122"/>
      <c r="E1948" s="128"/>
      <c r="H1948" s="122"/>
    </row>
    <row r="1949" spans="1:8" ht="24" customHeight="1">
      <c r="A1949" s="352" t="s">
        <v>1450</v>
      </c>
      <c r="B1949" s="1161" t="s">
        <v>1451</v>
      </c>
      <c r="C1949" s="1161"/>
      <c r="D1949" s="1161"/>
      <c r="E1949" s="353" t="s">
        <v>1452</v>
      </c>
      <c r="G1949" s="353"/>
      <c r="H1949" s="122"/>
    </row>
    <row r="1950" spans="1:8" ht="20.399999999999999">
      <c r="A1950" s="309" t="s">
        <v>30</v>
      </c>
      <c r="B1950" s="354" t="s">
        <v>19</v>
      </c>
      <c r="C1950" s="293" t="s">
        <v>81</v>
      </c>
      <c r="D1950" s="294" t="s">
        <v>77</v>
      </c>
      <c r="E1950" s="294" t="s">
        <v>82</v>
      </c>
      <c r="F1950" s="295" t="s">
        <v>83</v>
      </c>
      <c r="G1950" s="355" t="s">
        <v>84</v>
      </c>
      <c r="H1950" s="122"/>
    </row>
    <row r="1951" spans="1:8" ht="20.399999999999999">
      <c r="A1951" s="365" t="s">
        <v>1453</v>
      </c>
      <c r="B1951" s="356" t="s">
        <v>1454</v>
      </c>
      <c r="C1951" s="293" t="s">
        <v>87</v>
      </c>
      <c r="D1951" s="294" t="s">
        <v>381</v>
      </c>
      <c r="E1951" s="357">
        <v>1</v>
      </c>
      <c r="F1951" s="349">
        <v>1.68</v>
      </c>
      <c r="G1951" s="358">
        <f t="shared" ref="G1951:G1952" si="101">TRUNC(E1951*F1951,2)</f>
        <v>1.68</v>
      </c>
      <c r="H1951" s="122"/>
    </row>
    <row r="1952" spans="1:8" ht="30.6">
      <c r="A1952" s="365" t="s">
        <v>1455</v>
      </c>
      <c r="B1952" s="356" t="s">
        <v>1456</v>
      </c>
      <c r="C1952" s="293" t="s">
        <v>87</v>
      </c>
      <c r="D1952" s="294" t="s">
        <v>77</v>
      </c>
      <c r="E1952" s="357">
        <v>1</v>
      </c>
      <c r="F1952" s="295">
        <v>0.87</v>
      </c>
      <c r="G1952" s="358">
        <f t="shared" si="101"/>
        <v>0.87</v>
      </c>
      <c r="H1952" s="122"/>
    </row>
    <row r="1953" spans="1:9" ht="14.1" customHeight="1">
      <c r="A1953" s="1141">
        <v>88264</v>
      </c>
      <c r="B1953" s="1129" t="s">
        <v>279</v>
      </c>
      <c r="C1953" s="293" t="s">
        <v>104</v>
      </c>
      <c r="D1953" s="1131" t="s">
        <v>383</v>
      </c>
      <c r="E1953" s="1165">
        <v>0.1862</v>
      </c>
      <c r="F1953" s="298">
        <f>G253</f>
        <v>15.71</v>
      </c>
      <c r="G1953" s="312">
        <f>TRUNC(E1953*F1953,2)</f>
        <v>2.92</v>
      </c>
      <c r="H1953" s="122"/>
    </row>
    <row r="1954" spans="1:9" ht="14.1" customHeight="1">
      <c r="A1954" s="1142"/>
      <c r="B1954" s="1130"/>
      <c r="C1954" s="293" t="s">
        <v>87</v>
      </c>
      <c r="D1954" s="1131"/>
      <c r="E1954" s="1166"/>
      <c r="F1954" s="298">
        <f>G254</f>
        <v>4.8099999999999996</v>
      </c>
      <c r="G1954" s="312">
        <f>TRUNC(E1953*F1954,2)</f>
        <v>0.89</v>
      </c>
      <c r="H1954" s="122"/>
    </row>
    <row r="1955" spans="1:9" ht="14.1" customHeight="1">
      <c r="C1955" s="124"/>
      <c r="D1955" s="300"/>
      <c r="E1955" s="359"/>
      <c r="F1955" s="360" t="s">
        <v>90</v>
      </c>
      <c r="G1955" s="322">
        <f>G1953</f>
        <v>2.92</v>
      </c>
      <c r="H1955" s="122"/>
    </row>
    <row r="1956" spans="1:9" ht="14.1" customHeight="1">
      <c r="C1956" s="124"/>
      <c r="D1956" s="300"/>
      <c r="E1956" s="361"/>
      <c r="F1956" s="301" t="s">
        <v>92</v>
      </c>
      <c r="G1956" s="312">
        <f>G1951+G1952+G1954</f>
        <v>3.44</v>
      </c>
      <c r="H1956" s="122"/>
    </row>
    <row r="1957" spans="1:9" ht="14.1" customHeight="1">
      <c r="C1957" s="124"/>
      <c r="D1957" s="300"/>
      <c r="E1957" s="361"/>
      <c r="F1957" s="301" t="s">
        <v>93</v>
      </c>
      <c r="G1957" s="313">
        <f>SUM(G1955:G1956)</f>
        <v>6.3599999999999994</v>
      </c>
      <c r="H1957" s="122"/>
    </row>
    <row r="1958" spans="1:9">
      <c r="A1958" s="362"/>
      <c r="B1958" s="363"/>
      <c r="C1958" s="364"/>
      <c r="D1958" s="362"/>
      <c r="E1958" s="363"/>
      <c r="F1958" s="363"/>
      <c r="G1958" s="363"/>
      <c r="H1958" s="362"/>
      <c r="I1958" s="362"/>
    </row>
    <row r="1960" spans="1:9" ht="14.1" customHeight="1">
      <c r="A1960" s="122" t="s">
        <v>1194</v>
      </c>
      <c r="C1960" s="124"/>
      <c r="D1960" s="122"/>
      <c r="E1960" s="128"/>
      <c r="H1960" s="122"/>
    </row>
    <row r="1961" spans="1:9" ht="14.1" customHeight="1">
      <c r="A1961" s="148" t="s">
        <v>1647</v>
      </c>
      <c r="C1961" s="124"/>
      <c r="D1961" s="122"/>
      <c r="E1961" s="128"/>
      <c r="H1961" s="122"/>
    </row>
    <row r="1962" spans="1:9" ht="27" customHeight="1">
      <c r="A1962" s="352" t="s">
        <v>1450</v>
      </c>
      <c r="B1962" s="1161" t="s">
        <v>1648</v>
      </c>
      <c r="C1962" s="1161"/>
      <c r="D1962" s="1161"/>
      <c r="E1962" s="393" t="s">
        <v>1452</v>
      </c>
      <c r="G1962" s="353"/>
      <c r="H1962" s="122"/>
    </row>
    <row r="1963" spans="1:9" ht="20.399999999999999">
      <c r="A1963" s="309" t="s">
        <v>30</v>
      </c>
      <c r="B1963" s="354" t="s">
        <v>19</v>
      </c>
      <c r="C1963" s="293" t="s">
        <v>81</v>
      </c>
      <c r="D1963" s="294" t="s">
        <v>77</v>
      </c>
      <c r="E1963" s="294" t="s">
        <v>82</v>
      </c>
      <c r="F1963" s="295" t="s">
        <v>83</v>
      </c>
      <c r="G1963" s="355" t="s">
        <v>84</v>
      </c>
      <c r="H1963" s="122"/>
    </row>
    <row r="1964" spans="1:9" ht="15" customHeight="1">
      <c r="A1964" s="365" t="s">
        <v>1459</v>
      </c>
      <c r="B1964" s="356" t="s">
        <v>1460</v>
      </c>
      <c r="C1964" s="293" t="s">
        <v>87</v>
      </c>
      <c r="D1964" s="294" t="s">
        <v>77</v>
      </c>
      <c r="E1964" s="341">
        <v>2</v>
      </c>
      <c r="F1964" s="295">
        <v>3.96</v>
      </c>
      <c r="G1964" s="355">
        <f>TRUNC(E1964*F1964,2)</f>
        <v>7.92</v>
      </c>
      <c r="H1964" s="122"/>
    </row>
    <row r="1965" spans="1:9" ht="15" customHeight="1">
      <c r="A1965" s="1141">
        <v>88247</v>
      </c>
      <c r="B1965" s="1129" t="s">
        <v>1038</v>
      </c>
      <c r="C1965" s="293" t="s">
        <v>104</v>
      </c>
      <c r="D1965" s="1131" t="s">
        <v>383</v>
      </c>
      <c r="E1965" s="1165">
        <v>0.247</v>
      </c>
      <c r="F1965" s="298">
        <f>G287</f>
        <v>10.98</v>
      </c>
      <c r="G1965" s="358">
        <f>TRUNC(E1965*F1965,2)</f>
        <v>2.71</v>
      </c>
      <c r="H1965" s="122"/>
    </row>
    <row r="1966" spans="1:9" ht="15" customHeight="1">
      <c r="A1966" s="1142"/>
      <c r="B1966" s="1130"/>
      <c r="C1966" s="293" t="s">
        <v>87</v>
      </c>
      <c r="D1966" s="1131"/>
      <c r="E1966" s="1166"/>
      <c r="F1966" s="298">
        <f>G288</f>
        <v>4.75</v>
      </c>
      <c r="G1966" s="312">
        <f>TRUNC(E1965*F1966,2)</f>
        <v>1.17</v>
      </c>
      <c r="H1966" s="122"/>
    </row>
    <row r="1967" spans="1:9" ht="15" customHeight="1">
      <c r="A1967" s="1141">
        <v>88264</v>
      </c>
      <c r="B1967" s="1129" t="s">
        <v>279</v>
      </c>
      <c r="C1967" s="293" t="s">
        <v>104</v>
      </c>
      <c r="D1967" s="1131" t="s">
        <v>383</v>
      </c>
      <c r="E1967" s="1165">
        <v>0.247</v>
      </c>
      <c r="F1967" s="298">
        <f>G253</f>
        <v>15.71</v>
      </c>
      <c r="G1967" s="312">
        <f>TRUNC(E1967*F1967,2)</f>
        <v>3.88</v>
      </c>
      <c r="H1967" s="122"/>
    </row>
    <row r="1968" spans="1:9" ht="15" customHeight="1">
      <c r="A1968" s="1142"/>
      <c r="B1968" s="1130"/>
      <c r="C1968" s="293" t="s">
        <v>87</v>
      </c>
      <c r="D1968" s="1131"/>
      <c r="E1968" s="1166"/>
      <c r="F1968" s="298">
        <f>G254</f>
        <v>4.8099999999999996</v>
      </c>
      <c r="G1968" s="312">
        <f>TRUNC(E1967*F1968,2)</f>
        <v>1.18</v>
      </c>
      <c r="H1968" s="122"/>
    </row>
    <row r="1969" spans="1:8" ht="15" customHeight="1">
      <c r="C1969" s="124"/>
      <c r="D1969" s="300"/>
      <c r="E1969" s="359"/>
      <c r="F1969" s="360" t="s">
        <v>90</v>
      </c>
      <c r="G1969" s="322">
        <f>G1965+G1967</f>
        <v>6.59</v>
      </c>
      <c r="H1969" s="122"/>
    </row>
    <row r="1970" spans="1:8" ht="15" customHeight="1">
      <c r="C1970" s="124"/>
      <c r="D1970" s="300"/>
      <c r="E1970" s="361"/>
      <c r="F1970" s="301" t="s">
        <v>92</v>
      </c>
      <c r="G1970" s="312">
        <f>G1964+G1966+G1968</f>
        <v>10.27</v>
      </c>
      <c r="H1970" s="122"/>
    </row>
    <row r="1971" spans="1:8" ht="15" customHeight="1">
      <c r="C1971" s="124"/>
      <c r="D1971" s="300"/>
      <c r="E1971" s="361"/>
      <c r="F1971" s="301" t="s">
        <v>93</v>
      </c>
      <c r="G1971" s="313">
        <f>SUM(G1969:G1970)</f>
        <v>16.86</v>
      </c>
      <c r="H1971" s="122"/>
    </row>
    <row r="1972" spans="1:8">
      <c r="A1972" s="362"/>
      <c r="B1972" s="363"/>
      <c r="C1972" s="364"/>
      <c r="D1972" s="362"/>
      <c r="E1972" s="363"/>
      <c r="F1972" s="363"/>
      <c r="G1972" s="363"/>
      <c r="H1972" s="362"/>
    </row>
    <row r="1974" spans="1:8" ht="14.1" customHeight="1">
      <c r="A1974" s="122" t="s">
        <v>1194</v>
      </c>
      <c r="C1974" s="124"/>
      <c r="D1974" s="122"/>
      <c r="E1974" s="128"/>
      <c r="H1974" s="122"/>
    </row>
    <row r="1975" spans="1:8" ht="14.1" customHeight="1">
      <c r="A1975" s="148" t="s">
        <v>1645</v>
      </c>
      <c r="C1975" s="124"/>
      <c r="D1975" s="122"/>
      <c r="E1975" s="128"/>
      <c r="H1975" s="122"/>
    </row>
    <row r="1976" spans="1:8" ht="27.75" customHeight="1">
      <c r="A1976" s="352" t="s">
        <v>1450</v>
      </c>
      <c r="B1976" s="1161" t="s">
        <v>1644</v>
      </c>
      <c r="C1976" s="1161"/>
      <c r="D1976" s="1161"/>
      <c r="E1976" s="393" t="s">
        <v>1452</v>
      </c>
      <c r="G1976" s="353"/>
      <c r="H1976" s="122"/>
    </row>
    <row r="1977" spans="1:8" ht="20.399999999999999">
      <c r="A1977" s="309" t="s">
        <v>30</v>
      </c>
      <c r="B1977" s="354" t="s">
        <v>19</v>
      </c>
      <c r="C1977" s="293" t="s">
        <v>81</v>
      </c>
      <c r="D1977" s="294" t="s">
        <v>77</v>
      </c>
      <c r="E1977" s="294" t="s">
        <v>82</v>
      </c>
      <c r="F1977" s="295" t="s">
        <v>83</v>
      </c>
      <c r="G1977" s="355" t="s">
        <v>84</v>
      </c>
      <c r="H1977" s="122"/>
    </row>
    <row r="1978" spans="1:8" ht="18" customHeight="1">
      <c r="A1978" s="1141">
        <v>91946</v>
      </c>
      <c r="B1978" s="1129" t="s">
        <v>1451</v>
      </c>
      <c r="C1978" s="293" t="s">
        <v>104</v>
      </c>
      <c r="D1978" s="1131" t="s">
        <v>381</v>
      </c>
      <c r="E1978" s="1162">
        <v>1</v>
      </c>
      <c r="F1978" s="298">
        <f>G1955</f>
        <v>2.92</v>
      </c>
      <c r="G1978" s="358">
        <f>TRUNC(E1978*F1978,2)</f>
        <v>2.92</v>
      </c>
      <c r="H1978" s="122"/>
    </row>
    <row r="1979" spans="1:8" ht="18" customHeight="1">
      <c r="A1979" s="1142"/>
      <c r="B1979" s="1130"/>
      <c r="C1979" s="293" t="s">
        <v>87</v>
      </c>
      <c r="D1979" s="1131"/>
      <c r="E1979" s="1163"/>
      <c r="F1979" s="298">
        <f>G1956</f>
        <v>3.44</v>
      </c>
      <c r="G1979" s="312">
        <f>TRUNC(E1978*F1979,2)</f>
        <v>3.44</v>
      </c>
      <c r="H1979" s="122"/>
    </row>
    <row r="1980" spans="1:8" ht="15" customHeight="1">
      <c r="A1980" s="1141">
        <v>91952</v>
      </c>
      <c r="B1980" s="1129" t="s">
        <v>1646</v>
      </c>
      <c r="C1980" s="293" t="s">
        <v>104</v>
      </c>
      <c r="D1980" s="1131" t="s">
        <v>381</v>
      </c>
      <c r="E1980" s="1162">
        <v>1</v>
      </c>
      <c r="F1980" s="298">
        <f>G1969</f>
        <v>6.59</v>
      </c>
      <c r="G1980" s="312">
        <f>TRUNC(E1980*F1980,2)</f>
        <v>6.59</v>
      </c>
      <c r="H1980" s="122"/>
    </row>
    <row r="1981" spans="1:8" ht="15" customHeight="1">
      <c r="A1981" s="1142"/>
      <c r="B1981" s="1130"/>
      <c r="C1981" s="293" t="s">
        <v>87</v>
      </c>
      <c r="D1981" s="1131"/>
      <c r="E1981" s="1163"/>
      <c r="F1981" s="298">
        <f>G1970</f>
        <v>10.27</v>
      </c>
      <c r="G1981" s="312">
        <f>TRUNC(E1980*F1981,2)</f>
        <v>10.27</v>
      </c>
      <c r="H1981" s="122"/>
    </row>
    <row r="1982" spans="1:8" ht="14.1" customHeight="1">
      <c r="C1982" s="124"/>
      <c r="D1982" s="300"/>
      <c r="E1982" s="359"/>
      <c r="F1982" s="360" t="s">
        <v>90</v>
      </c>
      <c r="G1982" s="322">
        <f>G1978+G1980</f>
        <v>9.51</v>
      </c>
      <c r="H1982" s="122"/>
    </row>
    <row r="1983" spans="1:8" ht="14.1" customHeight="1">
      <c r="C1983" s="124"/>
      <c r="D1983" s="300"/>
      <c r="E1983" s="361"/>
      <c r="F1983" s="301" t="s">
        <v>92</v>
      </c>
      <c r="G1983" s="312">
        <f>G1979+G1981</f>
        <v>13.709999999999999</v>
      </c>
      <c r="H1983" s="122"/>
    </row>
    <row r="1984" spans="1:8" ht="14.1" customHeight="1">
      <c r="C1984" s="124"/>
      <c r="D1984" s="300"/>
      <c r="E1984" s="361"/>
      <c r="F1984" s="301" t="s">
        <v>93</v>
      </c>
      <c r="G1984" s="313">
        <f>SUM(G1982:G1983)</f>
        <v>23.22</v>
      </c>
      <c r="H1984" s="122"/>
    </row>
    <row r="1985" spans="1:9">
      <c r="A1985" s="362"/>
      <c r="B1985" s="363"/>
      <c r="C1985" s="364"/>
      <c r="D1985" s="362"/>
      <c r="E1985" s="363"/>
      <c r="F1985" s="363"/>
      <c r="G1985" s="363"/>
      <c r="H1985" s="362"/>
    </row>
    <row r="1987" spans="1:9" ht="14.1" customHeight="1">
      <c r="A1987" s="122" t="s">
        <v>1194</v>
      </c>
      <c r="C1987" s="124"/>
      <c r="D1987" s="122"/>
      <c r="E1987" s="128"/>
      <c r="H1987" s="122"/>
    </row>
    <row r="1988" spans="1:9" ht="14.1" customHeight="1">
      <c r="A1988" s="148" t="s">
        <v>1457</v>
      </c>
      <c r="C1988" s="124"/>
      <c r="D1988" s="122"/>
      <c r="E1988" s="128"/>
      <c r="H1988" s="122"/>
    </row>
    <row r="1989" spans="1:9" ht="25.5" customHeight="1">
      <c r="A1989" s="352" t="s">
        <v>1450</v>
      </c>
      <c r="B1989" s="1161" t="s">
        <v>1458</v>
      </c>
      <c r="C1989" s="1161"/>
      <c r="D1989" s="1161"/>
      <c r="E1989" s="353" t="s">
        <v>1452</v>
      </c>
      <c r="G1989" s="353"/>
      <c r="H1989" s="122"/>
    </row>
    <row r="1990" spans="1:9" ht="20.399999999999999">
      <c r="A1990" s="309" t="s">
        <v>30</v>
      </c>
      <c r="B1990" s="354" t="s">
        <v>19</v>
      </c>
      <c r="C1990" s="293" t="s">
        <v>81</v>
      </c>
      <c r="D1990" s="294" t="s">
        <v>77</v>
      </c>
      <c r="E1990" s="294" t="s">
        <v>82</v>
      </c>
      <c r="F1990" s="295" t="s">
        <v>83</v>
      </c>
      <c r="G1990" s="355" t="s">
        <v>84</v>
      </c>
      <c r="H1990" s="122"/>
    </row>
    <row r="1991" spans="1:9" ht="14.1" customHeight="1">
      <c r="A1991" s="365" t="s">
        <v>1459</v>
      </c>
      <c r="B1991" s="356" t="s">
        <v>1460</v>
      </c>
      <c r="C1991" s="293" t="s">
        <v>87</v>
      </c>
      <c r="D1991" s="294" t="s">
        <v>77</v>
      </c>
      <c r="E1991" s="341">
        <v>2</v>
      </c>
      <c r="F1991" s="295">
        <v>3.96</v>
      </c>
      <c r="G1991" s="355">
        <f>TRUNC(E1991*F1991,2)</f>
        <v>7.92</v>
      </c>
      <c r="H1991" s="122"/>
    </row>
    <row r="1992" spans="1:9" ht="14.1" customHeight="1">
      <c r="A1992" s="1141">
        <v>88247</v>
      </c>
      <c r="B1992" s="1129" t="s">
        <v>1038</v>
      </c>
      <c r="C1992" s="293" t="s">
        <v>104</v>
      </c>
      <c r="D1992" s="1131" t="s">
        <v>383</v>
      </c>
      <c r="E1992" s="1165">
        <v>0.247</v>
      </c>
      <c r="F1992" s="298">
        <f>G287</f>
        <v>10.98</v>
      </c>
      <c r="G1992" s="358">
        <f>TRUNC(E1992*F1992,2)</f>
        <v>2.71</v>
      </c>
      <c r="H1992" s="122"/>
    </row>
    <row r="1993" spans="1:9" ht="14.1" customHeight="1">
      <c r="A1993" s="1142"/>
      <c r="B1993" s="1130"/>
      <c r="C1993" s="293" t="s">
        <v>87</v>
      </c>
      <c r="D1993" s="1131"/>
      <c r="E1993" s="1166"/>
      <c r="F1993" s="298">
        <f>G288</f>
        <v>4.75</v>
      </c>
      <c r="G1993" s="312">
        <f>TRUNC(E1992*F1993,2)</f>
        <v>1.17</v>
      </c>
      <c r="H1993" s="122"/>
    </row>
    <row r="1994" spans="1:9" ht="14.1" customHeight="1">
      <c r="A1994" s="1141">
        <v>88264</v>
      </c>
      <c r="B1994" s="1129" t="s">
        <v>279</v>
      </c>
      <c r="C1994" s="293" t="s">
        <v>104</v>
      </c>
      <c r="D1994" s="1131" t="s">
        <v>383</v>
      </c>
      <c r="E1994" s="1165">
        <v>0.247</v>
      </c>
      <c r="F1994" s="298">
        <f>G253</f>
        <v>15.71</v>
      </c>
      <c r="G1994" s="312">
        <f>TRUNC(E1994*F1994,2)</f>
        <v>3.88</v>
      </c>
      <c r="H1994" s="122"/>
    </row>
    <row r="1995" spans="1:9" ht="14.1" customHeight="1">
      <c r="A1995" s="1142"/>
      <c r="B1995" s="1130"/>
      <c r="C1995" s="293" t="s">
        <v>87</v>
      </c>
      <c r="D1995" s="1131"/>
      <c r="E1995" s="1166"/>
      <c r="F1995" s="298">
        <f>G254</f>
        <v>4.8099999999999996</v>
      </c>
      <c r="G1995" s="312">
        <f>TRUNC(E1994*F1995,2)</f>
        <v>1.18</v>
      </c>
      <c r="H1995" s="122"/>
    </row>
    <row r="1996" spans="1:9" ht="14.1" customHeight="1">
      <c r="C1996" s="124"/>
      <c r="D1996" s="300"/>
      <c r="E1996" s="359"/>
      <c r="F1996" s="360" t="s">
        <v>90</v>
      </c>
      <c r="G1996" s="322">
        <f>G1992+G1994</f>
        <v>6.59</v>
      </c>
      <c r="H1996" s="122"/>
    </row>
    <row r="1997" spans="1:9" ht="14.1" customHeight="1">
      <c r="C1997" s="124"/>
      <c r="D1997" s="300"/>
      <c r="E1997" s="361"/>
      <c r="F1997" s="301" t="s">
        <v>92</v>
      </c>
      <c r="G1997" s="312">
        <f>G1991+G1993+G1995</f>
        <v>10.27</v>
      </c>
      <c r="H1997" s="122"/>
    </row>
    <row r="1998" spans="1:9" ht="14.1" customHeight="1">
      <c r="C1998" s="124"/>
      <c r="D1998" s="300"/>
      <c r="E1998" s="361"/>
      <c r="F1998" s="301" t="s">
        <v>93</v>
      </c>
      <c r="G1998" s="313">
        <f>SUM(G1996:G1997)</f>
        <v>16.86</v>
      </c>
      <c r="H1998" s="122"/>
    </row>
    <row r="1999" spans="1:9">
      <c r="A1999" s="362"/>
      <c r="B1999" s="363"/>
      <c r="C1999" s="364"/>
      <c r="D1999" s="362"/>
      <c r="E1999" s="363"/>
      <c r="F1999" s="363"/>
      <c r="G1999" s="363"/>
      <c r="H1999" s="362"/>
      <c r="I1999" s="362"/>
    </row>
    <row r="2001" spans="1:8" ht="14.1" customHeight="1">
      <c r="A2001" s="122" t="s">
        <v>1194</v>
      </c>
      <c r="C2001" s="124"/>
      <c r="D2001" s="122"/>
      <c r="E2001" s="128"/>
      <c r="H2001" s="122"/>
    </row>
    <row r="2002" spans="1:8" ht="14.1" customHeight="1">
      <c r="A2002" s="148" t="s">
        <v>1943</v>
      </c>
      <c r="C2002" s="124"/>
      <c r="D2002" s="122"/>
      <c r="E2002" s="128"/>
      <c r="H2002" s="122"/>
    </row>
    <row r="2003" spans="1:8" ht="26.25" customHeight="1">
      <c r="A2003" s="352" t="s">
        <v>1450</v>
      </c>
      <c r="B2003" s="1161" t="s">
        <v>1942</v>
      </c>
      <c r="C2003" s="1161"/>
      <c r="D2003" s="1161"/>
      <c r="E2003" s="393" t="s">
        <v>1452</v>
      </c>
      <c r="G2003" s="353"/>
      <c r="H2003" s="122"/>
    </row>
    <row r="2004" spans="1:8" ht="20.399999999999999">
      <c r="A2004" s="309" t="s">
        <v>30</v>
      </c>
      <c r="B2004" s="354" t="s">
        <v>19</v>
      </c>
      <c r="C2004" s="293" t="s">
        <v>81</v>
      </c>
      <c r="D2004" s="294" t="s">
        <v>77</v>
      </c>
      <c r="E2004" s="294" t="s">
        <v>82</v>
      </c>
      <c r="F2004" s="295" t="s">
        <v>83</v>
      </c>
      <c r="G2004" s="355" t="s">
        <v>84</v>
      </c>
      <c r="H2004" s="122"/>
    </row>
    <row r="2005" spans="1:8" ht="15" customHeight="1">
      <c r="A2005" s="365" t="s">
        <v>1463</v>
      </c>
      <c r="B2005" s="356" t="s">
        <v>1464</v>
      </c>
      <c r="C2005" s="293" t="s">
        <v>87</v>
      </c>
      <c r="D2005" s="294" t="s">
        <v>77</v>
      </c>
      <c r="E2005" s="341">
        <v>2</v>
      </c>
      <c r="F2005" s="295">
        <v>4.51</v>
      </c>
      <c r="G2005" s="355">
        <f>TRUNC(E2005*F2005,2)</f>
        <v>9.02</v>
      </c>
      <c r="H2005" s="122"/>
    </row>
    <row r="2006" spans="1:8" ht="15" customHeight="1">
      <c r="A2006" s="1141">
        <v>88247</v>
      </c>
      <c r="B2006" s="1129" t="s">
        <v>1038</v>
      </c>
      <c r="C2006" s="293" t="s">
        <v>104</v>
      </c>
      <c r="D2006" s="1131" t="s">
        <v>383</v>
      </c>
      <c r="E2006" s="1165">
        <v>0.55500000000000005</v>
      </c>
      <c r="F2006" s="298">
        <f>G287</f>
        <v>10.98</v>
      </c>
      <c r="G2006" s="358">
        <f>TRUNC(E2006*F2006,2)</f>
        <v>6.09</v>
      </c>
      <c r="H2006" s="122"/>
    </row>
    <row r="2007" spans="1:8" ht="15" customHeight="1">
      <c r="A2007" s="1142"/>
      <c r="B2007" s="1130"/>
      <c r="C2007" s="293" t="s">
        <v>87</v>
      </c>
      <c r="D2007" s="1131"/>
      <c r="E2007" s="1166"/>
      <c r="F2007" s="298">
        <f>G288</f>
        <v>4.75</v>
      </c>
      <c r="G2007" s="312">
        <f>TRUNC(E2006*F2007,2)</f>
        <v>2.63</v>
      </c>
      <c r="H2007" s="122"/>
    </row>
    <row r="2008" spans="1:8" ht="15" customHeight="1">
      <c r="A2008" s="1141">
        <v>88264</v>
      </c>
      <c r="B2008" s="1129" t="s">
        <v>279</v>
      </c>
      <c r="C2008" s="293" t="s">
        <v>104</v>
      </c>
      <c r="D2008" s="1131" t="s">
        <v>383</v>
      </c>
      <c r="E2008" s="1165">
        <v>0.55500000000000005</v>
      </c>
      <c r="F2008" s="298">
        <f>G253</f>
        <v>15.71</v>
      </c>
      <c r="G2008" s="312">
        <f>TRUNC(E2008*F2008,2)</f>
        <v>8.7100000000000009</v>
      </c>
      <c r="H2008" s="122"/>
    </row>
    <row r="2009" spans="1:8" ht="15" customHeight="1">
      <c r="A2009" s="1142"/>
      <c r="B2009" s="1130"/>
      <c r="C2009" s="293" t="s">
        <v>87</v>
      </c>
      <c r="D2009" s="1131"/>
      <c r="E2009" s="1166"/>
      <c r="F2009" s="298">
        <f>G254</f>
        <v>4.8099999999999996</v>
      </c>
      <c r="G2009" s="312">
        <f>TRUNC(E2008*F2009,2)</f>
        <v>2.66</v>
      </c>
      <c r="H2009" s="122"/>
    </row>
    <row r="2010" spans="1:8" ht="15" customHeight="1">
      <c r="C2010" s="124"/>
      <c r="D2010" s="300"/>
      <c r="E2010" s="359"/>
      <c r="F2010" s="360" t="s">
        <v>90</v>
      </c>
      <c r="G2010" s="322">
        <f>G2006+G2008</f>
        <v>14.8</v>
      </c>
      <c r="H2010" s="122"/>
    </row>
    <row r="2011" spans="1:8" ht="15" customHeight="1">
      <c r="C2011" s="124"/>
      <c r="D2011" s="300"/>
      <c r="E2011" s="361"/>
      <c r="F2011" s="301" t="s">
        <v>92</v>
      </c>
      <c r="G2011" s="312">
        <f>G2005+G2007+G2009</f>
        <v>14.309999999999999</v>
      </c>
      <c r="H2011" s="122"/>
    </row>
    <row r="2012" spans="1:8" ht="15" customHeight="1">
      <c r="C2012" s="124"/>
      <c r="D2012" s="300"/>
      <c r="E2012" s="361"/>
      <c r="F2012" s="301" t="s">
        <v>93</v>
      </c>
      <c r="G2012" s="313">
        <f>SUM(G2010:G2011)</f>
        <v>29.11</v>
      </c>
      <c r="H2012" s="122"/>
    </row>
    <row r="2013" spans="1:8">
      <c r="A2013" s="362"/>
      <c r="B2013" s="363"/>
      <c r="C2013" s="364"/>
      <c r="D2013" s="362"/>
      <c r="E2013" s="363"/>
      <c r="F2013" s="363"/>
      <c r="G2013" s="363"/>
      <c r="H2013" s="362"/>
    </row>
    <row r="2015" spans="1:8" ht="14.1" customHeight="1">
      <c r="A2015" s="122" t="s">
        <v>1194</v>
      </c>
      <c r="C2015" s="124"/>
      <c r="D2015" s="122"/>
      <c r="E2015" s="128"/>
      <c r="H2015" s="122"/>
    </row>
    <row r="2016" spans="1:8" ht="14.1" customHeight="1">
      <c r="A2016" s="148" t="s">
        <v>1461</v>
      </c>
      <c r="C2016" s="124"/>
      <c r="D2016" s="122"/>
      <c r="E2016" s="128"/>
      <c r="H2016" s="122"/>
    </row>
    <row r="2017" spans="1:9" ht="24" customHeight="1">
      <c r="A2017" s="352" t="s">
        <v>1450</v>
      </c>
      <c r="B2017" s="1161" t="s">
        <v>1462</v>
      </c>
      <c r="C2017" s="1161"/>
      <c r="D2017" s="1161"/>
      <c r="E2017" s="393" t="s">
        <v>1452</v>
      </c>
      <c r="G2017" s="353"/>
      <c r="H2017" s="122"/>
    </row>
    <row r="2018" spans="1:9" ht="20.399999999999999">
      <c r="A2018" s="309" t="s">
        <v>30</v>
      </c>
      <c r="B2018" s="354" t="s">
        <v>19</v>
      </c>
      <c r="C2018" s="293" t="s">
        <v>81</v>
      </c>
      <c r="D2018" s="294" t="s">
        <v>77</v>
      </c>
      <c r="E2018" s="294" t="s">
        <v>82</v>
      </c>
      <c r="F2018" s="295" t="s">
        <v>83</v>
      </c>
      <c r="G2018" s="355" t="s">
        <v>84</v>
      </c>
      <c r="H2018" s="122"/>
    </row>
    <row r="2019" spans="1:9" ht="14.1" customHeight="1">
      <c r="A2019" s="1141">
        <v>88247</v>
      </c>
      <c r="B2019" s="1129" t="s">
        <v>1038</v>
      </c>
      <c r="C2019" s="293" t="s">
        <v>104</v>
      </c>
      <c r="D2019" s="1131" t="s">
        <v>383</v>
      </c>
      <c r="E2019" s="1165">
        <v>0.308</v>
      </c>
      <c r="F2019" s="298">
        <f>G287</f>
        <v>10.98</v>
      </c>
      <c r="G2019" s="358">
        <f>TRUNC(E2019*F2019,2)</f>
        <v>3.38</v>
      </c>
      <c r="H2019" s="122"/>
    </row>
    <row r="2020" spans="1:9" ht="14.1" customHeight="1">
      <c r="A2020" s="1142"/>
      <c r="B2020" s="1130"/>
      <c r="C2020" s="293" t="s">
        <v>87</v>
      </c>
      <c r="D2020" s="1131"/>
      <c r="E2020" s="1166"/>
      <c r="F2020" s="298">
        <f>G288</f>
        <v>4.75</v>
      </c>
      <c r="G2020" s="312">
        <f>TRUNC(E2019*F2020,2)</f>
        <v>1.46</v>
      </c>
      <c r="H2020" s="122"/>
    </row>
    <row r="2021" spans="1:9" ht="14.1" customHeight="1">
      <c r="A2021" s="1141">
        <v>88264</v>
      </c>
      <c r="B2021" s="1129" t="s">
        <v>279</v>
      </c>
      <c r="C2021" s="293" t="s">
        <v>104</v>
      </c>
      <c r="D2021" s="1131" t="s">
        <v>383</v>
      </c>
      <c r="E2021" s="1165">
        <v>0.308</v>
      </c>
      <c r="F2021" s="298">
        <f>G253</f>
        <v>15.71</v>
      </c>
      <c r="G2021" s="312">
        <f>TRUNC(E2021*F2021,2)</f>
        <v>4.83</v>
      </c>
      <c r="H2021" s="122"/>
    </row>
    <row r="2022" spans="1:9" ht="14.1" customHeight="1">
      <c r="A2022" s="1142"/>
      <c r="B2022" s="1130"/>
      <c r="C2022" s="293" t="s">
        <v>87</v>
      </c>
      <c r="D2022" s="1131"/>
      <c r="E2022" s="1166"/>
      <c r="F2022" s="298">
        <f>G254</f>
        <v>4.8099999999999996</v>
      </c>
      <c r="G2022" s="312">
        <f>TRUNC(E2021*F2022,2)</f>
        <v>1.48</v>
      </c>
      <c r="H2022" s="122"/>
    </row>
    <row r="2023" spans="1:9" ht="14.1" customHeight="1">
      <c r="A2023" s="309" t="s">
        <v>1463</v>
      </c>
      <c r="B2023" s="297" t="s">
        <v>1464</v>
      </c>
      <c r="C2023" s="293" t="s">
        <v>87</v>
      </c>
      <c r="D2023" s="294" t="s">
        <v>77</v>
      </c>
      <c r="E2023" s="326">
        <v>1</v>
      </c>
      <c r="F2023" s="298">
        <v>4.51</v>
      </c>
      <c r="G2023" s="312">
        <f>TRUNC(E2023*F2023,2)</f>
        <v>4.51</v>
      </c>
      <c r="H2023" s="122"/>
    </row>
    <row r="2024" spans="1:9" ht="14.1" customHeight="1">
      <c r="C2024" s="124"/>
      <c r="D2024" s="320"/>
      <c r="E2024" s="359"/>
      <c r="F2024" s="360" t="s">
        <v>90</v>
      </c>
      <c r="G2024" s="322">
        <f>G2019+G2021</f>
        <v>8.2100000000000009</v>
      </c>
      <c r="H2024" s="122"/>
    </row>
    <row r="2025" spans="1:9" ht="14.1" customHeight="1">
      <c r="C2025" s="124"/>
      <c r="D2025" s="300"/>
      <c r="E2025" s="361"/>
      <c r="F2025" s="301" t="s">
        <v>92</v>
      </c>
      <c r="G2025" s="312">
        <f>G2020+G2022+G2023</f>
        <v>7.4499999999999993</v>
      </c>
      <c r="H2025" s="122"/>
    </row>
    <row r="2026" spans="1:9" ht="14.1" customHeight="1">
      <c r="C2026" s="124"/>
      <c r="D2026" s="300"/>
      <c r="E2026" s="361"/>
      <c r="F2026" s="301" t="s">
        <v>93</v>
      </c>
      <c r="G2026" s="313">
        <f>SUM(G2024:G2025)</f>
        <v>15.66</v>
      </c>
      <c r="H2026" s="122"/>
    </row>
    <row r="2027" spans="1:9">
      <c r="A2027" s="362"/>
      <c r="B2027" s="363"/>
      <c r="C2027" s="364"/>
      <c r="D2027" s="362"/>
      <c r="E2027" s="363"/>
      <c r="F2027" s="363"/>
      <c r="G2027" s="363"/>
      <c r="H2027" s="362"/>
      <c r="I2027" s="362"/>
    </row>
    <row r="2029" spans="1:9" ht="14.1" customHeight="1">
      <c r="A2029" s="122" t="s">
        <v>1194</v>
      </c>
      <c r="C2029" s="124"/>
      <c r="D2029" s="122"/>
      <c r="E2029" s="128"/>
      <c r="H2029" s="122"/>
    </row>
    <row r="2030" spans="1:9" ht="14.1" customHeight="1">
      <c r="A2030" s="148" t="s">
        <v>1638</v>
      </c>
      <c r="C2030" s="124"/>
      <c r="D2030" s="122"/>
      <c r="E2030" s="128"/>
      <c r="H2030" s="122"/>
    </row>
    <row r="2031" spans="1:9" ht="26.25" customHeight="1">
      <c r="A2031" s="352" t="s">
        <v>1450</v>
      </c>
      <c r="B2031" s="1161" t="s">
        <v>1637</v>
      </c>
      <c r="C2031" s="1161"/>
      <c r="D2031" s="1161"/>
      <c r="E2031" s="393" t="s">
        <v>1452</v>
      </c>
      <c r="G2031" s="353"/>
      <c r="H2031" s="122"/>
    </row>
    <row r="2032" spans="1:9" ht="20.399999999999999">
      <c r="A2032" s="309" t="s">
        <v>30</v>
      </c>
      <c r="B2032" s="354" t="s">
        <v>19</v>
      </c>
      <c r="C2032" s="293" t="s">
        <v>81</v>
      </c>
      <c r="D2032" s="294" t="s">
        <v>77</v>
      </c>
      <c r="E2032" s="294" t="s">
        <v>82</v>
      </c>
      <c r="F2032" s="295" t="s">
        <v>83</v>
      </c>
      <c r="G2032" s="355" t="s">
        <v>84</v>
      </c>
      <c r="H2032" s="122"/>
    </row>
    <row r="2033" spans="1:8" ht="14.1" customHeight="1">
      <c r="A2033" s="365" t="s">
        <v>1640</v>
      </c>
      <c r="B2033" s="500" t="s">
        <v>1641</v>
      </c>
      <c r="C2033" s="293" t="s">
        <v>87</v>
      </c>
      <c r="D2033" s="461" t="s">
        <v>381</v>
      </c>
      <c r="E2033" s="357">
        <v>1</v>
      </c>
      <c r="F2033" s="295">
        <v>5.77</v>
      </c>
      <c r="G2033" s="312">
        <f>TRUNC(E2033*F2033,2)</f>
        <v>5.77</v>
      </c>
      <c r="H2033" s="122"/>
    </row>
    <row r="2034" spans="1:8" ht="15.9" customHeight="1">
      <c r="A2034" s="365">
        <v>88247</v>
      </c>
      <c r="B2034" s="1129" t="s">
        <v>1038</v>
      </c>
      <c r="C2034" s="293" t="s">
        <v>104</v>
      </c>
      <c r="D2034" s="1153" t="s">
        <v>383</v>
      </c>
      <c r="E2034" s="1165">
        <v>0.308</v>
      </c>
      <c r="F2034" s="349">
        <f>G287</f>
        <v>10.98</v>
      </c>
      <c r="G2034" s="355">
        <f>TRUNC(E2034*F2034,2)</f>
        <v>3.38</v>
      </c>
      <c r="H2034" s="122"/>
    </row>
    <row r="2035" spans="1:8" ht="15.9" customHeight="1">
      <c r="A2035" s="485"/>
      <c r="B2035" s="1130"/>
      <c r="C2035" s="293" t="s">
        <v>87</v>
      </c>
      <c r="D2035" s="1154"/>
      <c r="E2035" s="1166"/>
      <c r="F2035" s="349">
        <f>G288</f>
        <v>4.75</v>
      </c>
      <c r="G2035" s="312">
        <f>TRUNC(E2034*F2035,2)</f>
        <v>1.46</v>
      </c>
      <c r="H2035" s="122"/>
    </row>
    <row r="2036" spans="1:8" ht="15.9" customHeight="1">
      <c r="A2036" s="365">
        <v>88264</v>
      </c>
      <c r="B2036" s="1129" t="s">
        <v>279</v>
      </c>
      <c r="C2036" s="293" t="s">
        <v>104</v>
      </c>
      <c r="D2036" s="1153" t="s">
        <v>383</v>
      </c>
      <c r="E2036" s="1165">
        <v>0.308</v>
      </c>
      <c r="F2036" s="298">
        <f>G253</f>
        <v>15.71</v>
      </c>
      <c r="G2036" s="312">
        <f>TRUNC(E2036*F2036,2)</f>
        <v>4.83</v>
      </c>
      <c r="H2036" s="122"/>
    </row>
    <row r="2037" spans="1:8" ht="15.9" customHeight="1">
      <c r="A2037" s="485"/>
      <c r="B2037" s="1130"/>
      <c r="C2037" s="293" t="s">
        <v>87</v>
      </c>
      <c r="D2037" s="1154"/>
      <c r="E2037" s="1166"/>
      <c r="F2037" s="298">
        <f>G254</f>
        <v>4.8099999999999996</v>
      </c>
      <c r="G2037" s="312">
        <f t="shared" ref="G2037" si="102">TRUNC(E2036*F2037,2)</f>
        <v>1.48</v>
      </c>
      <c r="H2037" s="122"/>
    </row>
    <row r="2038" spans="1:8" ht="15" customHeight="1">
      <c r="C2038" s="124"/>
      <c r="D2038" s="320"/>
      <c r="E2038" s="359"/>
      <c r="F2038" s="360" t="s">
        <v>90</v>
      </c>
      <c r="G2038" s="322">
        <f>G2034+G2036</f>
        <v>8.2100000000000009</v>
      </c>
      <c r="H2038" s="122"/>
    </row>
    <row r="2039" spans="1:8" ht="15" customHeight="1">
      <c r="C2039" s="124"/>
      <c r="D2039" s="300"/>
      <c r="E2039" s="361"/>
      <c r="F2039" s="301" t="s">
        <v>92</v>
      </c>
      <c r="G2039" s="312">
        <f>G2033+G2035+G2037</f>
        <v>8.7099999999999991</v>
      </c>
      <c r="H2039" s="122"/>
    </row>
    <row r="2040" spans="1:8" ht="15" customHeight="1">
      <c r="C2040" s="124"/>
      <c r="D2040" s="300"/>
      <c r="E2040" s="361"/>
      <c r="F2040" s="301" t="s">
        <v>93</v>
      </c>
      <c r="G2040" s="313">
        <f>SUM(G2038:G2039)</f>
        <v>16.920000000000002</v>
      </c>
      <c r="H2040" s="122"/>
    </row>
    <row r="2041" spans="1:8">
      <c r="A2041" s="362"/>
      <c r="B2041" s="363"/>
      <c r="C2041" s="364"/>
      <c r="D2041" s="362"/>
      <c r="E2041" s="363"/>
      <c r="F2041" s="363"/>
      <c r="G2041" s="363"/>
      <c r="H2041" s="362"/>
    </row>
    <row r="2043" spans="1:8" ht="14.1" customHeight="1">
      <c r="A2043" s="122" t="s">
        <v>1194</v>
      </c>
      <c r="C2043" s="124"/>
      <c r="D2043" s="122"/>
      <c r="E2043" s="128"/>
      <c r="H2043" s="122"/>
    </row>
    <row r="2044" spans="1:8" ht="14.1" customHeight="1">
      <c r="A2044" s="148" t="s">
        <v>1625</v>
      </c>
      <c r="C2044" s="124"/>
      <c r="D2044" s="122"/>
      <c r="E2044" s="128"/>
      <c r="H2044" s="122"/>
    </row>
    <row r="2045" spans="1:8" ht="26.25" customHeight="1">
      <c r="A2045" s="352" t="s">
        <v>1450</v>
      </c>
      <c r="B2045" s="1161" t="s">
        <v>1626</v>
      </c>
      <c r="C2045" s="1161"/>
      <c r="D2045" s="1161"/>
      <c r="E2045" s="393" t="s">
        <v>1452</v>
      </c>
      <c r="G2045" s="353"/>
      <c r="H2045" s="122"/>
    </row>
    <row r="2046" spans="1:8" ht="20.399999999999999">
      <c r="A2046" s="309" t="s">
        <v>30</v>
      </c>
      <c r="B2046" s="354" t="s">
        <v>19</v>
      </c>
      <c r="C2046" s="293" t="s">
        <v>81</v>
      </c>
      <c r="D2046" s="294" t="s">
        <v>77</v>
      </c>
      <c r="E2046" s="294" t="s">
        <v>82</v>
      </c>
      <c r="F2046" s="295" t="s">
        <v>83</v>
      </c>
      <c r="G2046" s="355" t="s">
        <v>84</v>
      </c>
      <c r="H2046" s="122"/>
    </row>
    <row r="2047" spans="1:8" ht="20.100000000000001" customHeight="1">
      <c r="A2047" s="1141" t="s">
        <v>1627</v>
      </c>
      <c r="B2047" s="1129" t="s">
        <v>1451</v>
      </c>
      <c r="C2047" s="293" t="s">
        <v>104</v>
      </c>
      <c r="D2047" s="1153" t="s">
        <v>381</v>
      </c>
      <c r="E2047" s="1165">
        <v>1</v>
      </c>
      <c r="F2047" s="349">
        <f>G1955</f>
        <v>2.92</v>
      </c>
      <c r="G2047" s="355">
        <f>TRUNC(E2047*F2047,2)</f>
        <v>2.92</v>
      </c>
      <c r="H2047" s="122"/>
    </row>
    <row r="2048" spans="1:8" ht="20.100000000000001" customHeight="1">
      <c r="A2048" s="1142"/>
      <c r="B2048" s="1130"/>
      <c r="C2048" s="293" t="s">
        <v>87</v>
      </c>
      <c r="D2048" s="1154"/>
      <c r="E2048" s="1166"/>
      <c r="F2048" s="349">
        <f>G1956</f>
        <v>3.44</v>
      </c>
      <c r="G2048" s="312">
        <f>TRUNC(E2047*F2048,2)</f>
        <v>3.44</v>
      </c>
      <c r="H2048" s="122"/>
    </row>
    <row r="2049" spans="1:8" ht="18" customHeight="1">
      <c r="A2049" s="1141" t="s">
        <v>1628</v>
      </c>
      <c r="B2049" s="1129" t="s">
        <v>1629</v>
      </c>
      <c r="C2049" s="293" t="s">
        <v>104</v>
      </c>
      <c r="D2049" s="1153" t="s">
        <v>381</v>
      </c>
      <c r="E2049" s="1165">
        <v>1</v>
      </c>
      <c r="F2049" s="298">
        <f>G2024</f>
        <v>8.2100000000000009</v>
      </c>
      <c r="G2049" s="312">
        <f>TRUNC(E2049*F2049,2)</f>
        <v>8.2100000000000009</v>
      </c>
      <c r="H2049" s="122"/>
    </row>
    <row r="2050" spans="1:8" ht="18" customHeight="1">
      <c r="A2050" s="1142"/>
      <c r="B2050" s="1130"/>
      <c r="C2050" s="293" t="s">
        <v>87</v>
      </c>
      <c r="D2050" s="1154"/>
      <c r="E2050" s="1166"/>
      <c r="F2050" s="298">
        <f>G2025</f>
        <v>7.4499999999999993</v>
      </c>
      <c r="G2050" s="312">
        <f t="shared" ref="G2050" si="103">TRUNC(E2049*F2050,2)</f>
        <v>7.45</v>
      </c>
      <c r="H2050" s="122"/>
    </row>
    <row r="2051" spans="1:8" ht="15" customHeight="1">
      <c r="C2051" s="124"/>
      <c r="D2051" s="320"/>
      <c r="E2051" s="359"/>
      <c r="F2051" s="360" t="s">
        <v>90</v>
      </c>
      <c r="G2051" s="322">
        <f>G2047+G2049</f>
        <v>11.13</v>
      </c>
      <c r="H2051" s="122"/>
    </row>
    <row r="2052" spans="1:8" ht="15" customHeight="1">
      <c r="C2052" s="124"/>
      <c r="D2052" s="300"/>
      <c r="E2052" s="361"/>
      <c r="F2052" s="301" t="s">
        <v>92</v>
      </c>
      <c r="G2052" s="312">
        <f>G2048+G2050</f>
        <v>10.89</v>
      </c>
      <c r="H2052" s="122"/>
    </row>
    <row r="2053" spans="1:8" ht="15" customHeight="1">
      <c r="C2053" s="124"/>
      <c r="D2053" s="300"/>
      <c r="E2053" s="361"/>
      <c r="F2053" s="301" t="s">
        <v>93</v>
      </c>
      <c r="G2053" s="313">
        <f>SUM(G2051:G2052)</f>
        <v>22.020000000000003</v>
      </c>
      <c r="H2053" s="394"/>
    </row>
    <row r="2054" spans="1:8">
      <c r="A2054" s="362"/>
      <c r="B2054" s="363"/>
      <c r="C2054" s="364"/>
      <c r="D2054" s="362"/>
      <c r="E2054" s="363"/>
      <c r="F2054" s="363"/>
      <c r="G2054" s="363"/>
      <c r="H2054" s="362"/>
    </row>
    <row r="2056" spans="1:8" ht="14.1" customHeight="1">
      <c r="A2056" s="122" t="s">
        <v>1194</v>
      </c>
      <c r="C2056" s="124"/>
      <c r="D2056" s="122"/>
      <c r="E2056" s="128"/>
      <c r="H2056" s="122"/>
    </row>
    <row r="2057" spans="1:8" ht="14.1" customHeight="1">
      <c r="A2057" s="148" t="s">
        <v>1635</v>
      </c>
      <c r="C2057" s="124"/>
      <c r="D2057" s="122"/>
      <c r="E2057" s="128"/>
      <c r="H2057" s="122"/>
    </row>
    <row r="2058" spans="1:8" ht="27.75" customHeight="1">
      <c r="A2058" s="352" t="s">
        <v>1450</v>
      </c>
      <c r="B2058" s="1161" t="s">
        <v>1636</v>
      </c>
      <c r="C2058" s="1161"/>
      <c r="D2058" s="1161"/>
      <c r="E2058" s="393" t="s">
        <v>1452</v>
      </c>
      <c r="G2058" s="353"/>
      <c r="H2058" s="122"/>
    </row>
    <row r="2059" spans="1:8" ht="20.399999999999999">
      <c r="A2059" s="309" t="s">
        <v>30</v>
      </c>
      <c r="B2059" s="354" t="s">
        <v>19</v>
      </c>
      <c r="C2059" s="293" t="s">
        <v>81</v>
      </c>
      <c r="D2059" s="294" t="s">
        <v>77</v>
      </c>
      <c r="E2059" s="294" t="s">
        <v>82</v>
      </c>
      <c r="F2059" s="295" t="s">
        <v>83</v>
      </c>
      <c r="G2059" s="355" t="s">
        <v>84</v>
      </c>
      <c r="H2059" s="122"/>
    </row>
    <row r="2060" spans="1:8" ht="18" customHeight="1">
      <c r="A2060" s="1141" t="s">
        <v>1627</v>
      </c>
      <c r="B2060" s="1129" t="s">
        <v>1451</v>
      </c>
      <c r="C2060" s="293" t="s">
        <v>104</v>
      </c>
      <c r="D2060" s="1153" t="s">
        <v>381</v>
      </c>
      <c r="E2060" s="1165">
        <v>1</v>
      </c>
      <c r="F2060" s="349">
        <f>G1955</f>
        <v>2.92</v>
      </c>
      <c r="G2060" s="358">
        <f>TRUNC(E2060*F2060,2)</f>
        <v>2.92</v>
      </c>
      <c r="H2060" s="122"/>
    </row>
    <row r="2061" spans="1:8" ht="18" customHeight="1">
      <c r="A2061" s="1142"/>
      <c r="B2061" s="1130"/>
      <c r="C2061" s="293" t="s">
        <v>87</v>
      </c>
      <c r="D2061" s="1154"/>
      <c r="E2061" s="1166"/>
      <c r="F2061" s="349">
        <f>G1956</f>
        <v>3.44</v>
      </c>
      <c r="G2061" s="312">
        <f>TRUNC(E2060*F2061,2)</f>
        <v>3.44</v>
      </c>
      <c r="H2061" s="122"/>
    </row>
    <row r="2062" spans="1:8" ht="18" customHeight="1">
      <c r="A2062" s="1141">
        <v>91995</v>
      </c>
      <c r="B2062" s="1129" t="s">
        <v>1639</v>
      </c>
      <c r="C2062" s="293" t="s">
        <v>104</v>
      </c>
      <c r="D2062" s="1153" t="s">
        <v>381</v>
      </c>
      <c r="E2062" s="1165">
        <v>1</v>
      </c>
      <c r="F2062" s="298">
        <f>G2038</f>
        <v>8.2100000000000009</v>
      </c>
      <c r="G2062" s="312">
        <f>TRUNC(E2062*F2062,2)</f>
        <v>8.2100000000000009</v>
      </c>
      <c r="H2062" s="122"/>
    </row>
    <row r="2063" spans="1:8" ht="18" customHeight="1">
      <c r="A2063" s="1142"/>
      <c r="B2063" s="1130"/>
      <c r="C2063" s="293" t="s">
        <v>87</v>
      </c>
      <c r="D2063" s="1154"/>
      <c r="E2063" s="1166"/>
      <c r="F2063" s="298">
        <f>G2039</f>
        <v>8.7099999999999991</v>
      </c>
      <c r="G2063" s="312">
        <f t="shared" ref="G2063" si="104">TRUNC(E2062*F2063,2)</f>
        <v>8.7100000000000009</v>
      </c>
      <c r="H2063" s="122"/>
    </row>
    <row r="2064" spans="1:8" ht="18" customHeight="1">
      <c r="C2064" s="124"/>
      <c r="D2064" s="320"/>
      <c r="E2064" s="359"/>
      <c r="F2064" s="360" t="s">
        <v>90</v>
      </c>
      <c r="G2064" s="322">
        <f>G2060+G2062</f>
        <v>11.13</v>
      </c>
      <c r="H2064" s="122"/>
    </row>
    <row r="2065" spans="1:8" ht="18" customHeight="1">
      <c r="C2065" s="124"/>
      <c r="D2065" s="300"/>
      <c r="E2065" s="361"/>
      <c r="F2065" s="301" t="s">
        <v>92</v>
      </c>
      <c r="G2065" s="312">
        <f>G2061+G2063</f>
        <v>12.15</v>
      </c>
      <c r="H2065" s="122"/>
    </row>
    <row r="2066" spans="1:8" ht="18" customHeight="1">
      <c r="C2066" s="124"/>
      <c r="D2066" s="300"/>
      <c r="E2066" s="361"/>
      <c r="F2066" s="301" t="s">
        <v>93</v>
      </c>
      <c r="G2066" s="313">
        <f>SUM(G2064:G2065)</f>
        <v>23.28</v>
      </c>
      <c r="H2066" s="394"/>
    </row>
    <row r="2067" spans="1:8">
      <c r="A2067" s="362"/>
      <c r="B2067" s="363"/>
      <c r="C2067" s="364"/>
      <c r="D2067" s="362"/>
      <c r="E2067" s="363"/>
      <c r="F2067" s="363"/>
      <c r="G2067" s="363"/>
      <c r="H2067" s="362"/>
    </row>
    <row r="2069" spans="1:8">
      <c r="A2069" s="122" t="s">
        <v>1194</v>
      </c>
      <c r="C2069" s="124"/>
      <c r="D2069" s="122"/>
      <c r="E2069" s="128"/>
      <c r="H2069" s="122"/>
    </row>
    <row r="2070" spans="1:8">
      <c r="A2070" s="148" t="s">
        <v>1638</v>
      </c>
      <c r="C2070" s="124"/>
      <c r="D2070" s="122"/>
      <c r="E2070" s="128"/>
      <c r="H2070" s="122"/>
    </row>
    <row r="2071" spans="1:8" ht="22.5" customHeight="1">
      <c r="A2071" s="352" t="s">
        <v>1450</v>
      </c>
      <c r="B2071" s="1161" t="s">
        <v>1637</v>
      </c>
      <c r="C2071" s="1161"/>
      <c r="D2071" s="1161"/>
      <c r="E2071" s="393" t="s">
        <v>1452</v>
      </c>
      <c r="G2071" s="353"/>
      <c r="H2071" s="122"/>
    </row>
    <row r="2072" spans="1:8" ht="20.399999999999999">
      <c r="A2072" s="309" t="s">
        <v>30</v>
      </c>
      <c r="B2072" s="354" t="s">
        <v>19</v>
      </c>
      <c r="C2072" s="293" t="s">
        <v>81</v>
      </c>
      <c r="D2072" s="294" t="s">
        <v>77</v>
      </c>
      <c r="E2072" s="294" t="s">
        <v>82</v>
      </c>
      <c r="F2072" s="295" t="s">
        <v>83</v>
      </c>
      <c r="G2072" s="355" t="s">
        <v>84</v>
      </c>
      <c r="H2072" s="122"/>
    </row>
    <row r="2073" spans="1:8" ht="14.1" customHeight="1">
      <c r="A2073" s="365" t="s">
        <v>1640</v>
      </c>
      <c r="B2073" s="500" t="s">
        <v>1641</v>
      </c>
      <c r="C2073" s="293" t="s">
        <v>87</v>
      </c>
      <c r="D2073" s="461" t="s">
        <v>381</v>
      </c>
      <c r="E2073" s="357">
        <v>1</v>
      </c>
      <c r="F2073" s="295">
        <v>5.77</v>
      </c>
      <c r="G2073" s="312">
        <f>TRUNC(E2073*F2073,2)</f>
        <v>5.77</v>
      </c>
      <c r="H2073" s="122"/>
    </row>
    <row r="2074" spans="1:8" ht="14.1" customHeight="1">
      <c r="A2074" s="365">
        <v>88247</v>
      </c>
      <c r="B2074" s="1129" t="s">
        <v>1038</v>
      </c>
      <c r="C2074" s="293" t="s">
        <v>104</v>
      </c>
      <c r="D2074" s="1153" t="s">
        <v>383</v>
      </c>
      <c r="E2074" s="1165">
        <v>0.308</v>
      </c>
      <c r="F2074" s="349">
        <f>G287</f>
        <v>10.98</v>
      </c>
      <c r="G2074" s="355">
        <f>TRUNC(E2074*F2074,2)</f>
        <v>3.38</v>
      </c>
      <c r="H2074" s="122"/>
    </row>
    <row r="2075" spans="1:8" ht="14.1" customHeight="1">
      <c r="A2075" s="485"/>
      <c r="B2075" s="1130"/>
      <c r="C2075" s="293" t="s">
        <v>87</v>
      </c>
      <c r="D2075" s="1154"/>
      <c r="E2075" s="1166"/>
      <c r="F2075" s="349">
        <f>G288</f>
        <v>4.75</v>
      </c>
      <c r="G2075" s="312">
        <f>TRUNC(E2074*F2075,2)</f>
        <v>1.46</v>
      </c>
      <c r="H2075" s="122"/>
    </row>
    <row r="2076" spans="1:8" ht="14.1" customHeight="1">
      <c r="A2076" s="365">
        <v>88264</v>
      </c>
      <c r="B2076" s="1129" t="s">
        <v>279</v>
      </c>
      <c r="C2076" s="293" t="s">
        <v>104</v>
      </c>
      <c r="D2076" s="1153" t="s">
        <v>383</v>
      </c>
      <c r="E2076" s="1165">
        <v>0.308</v>
      </c>
      <c r="F2076" s="298">
        <f>G253</f>
        <v>15.71</v>
      </c>
      <c r="G2076" s="312">
        <f>TRUNC(E2076*F2076,2)</f>
        <v>4.83</v>
      </c>
      <c r="H2076" s="122"/>
    </row>
    <row r="2077" spans="1:8" ht="14.1" customHeight="1">
      <c r="A2077" s="485"/>
      <c r="B2077" s="1130"/>
      <c r="C2077" s="293" t="s">
        <v>87</v>
      </c>
      <c r="D2077" s="1154"/>
      <c r="E2077" s="1166"/>
      <c r="F2077" s="298">
        <f>G254</f>
        <v>4.8099999999999996</v>
      </c>
      <c r="G2077" s="312">
        <f t="shared" ref="G2077" si="105">TRUNC(E2076*F2077,2)</f>
        <v>1.48</v>
      </c>
      <c r="H2077" s="122"/>
    </row>
    <row r="2078" spans="1:8" ht="14.1" customHeight="1">
      <c r="C2078" s="124"/>
      <c r="D2078" s="320"/>
      <c r="E2078" s="359"/>
      <c r="F2078" s="360" t="s">
        <v>90</v>
      </c>
      <c r="G2078" s="322">
        <f>G2074+G2076</f>
        <v>8.2100000000000009</v>
      </c>
      <c r="H2078" s="122"/>
    </row>
    <row r="2079" spans="1:8" ht="14.1" customHeight="1">
      <c r="C2079" s="124"/>
      <c r="D2079" s="300"/>
      <c r="E2079" s="361"/>
      <c r="F2079" s="301" t="s">
        <v>92</v>
      </c>
      <c r="G2079" s="312">
        <f>G2073+G2075+G2077</f>
        <v>8.7099999999999991</v>
      </c>
      <c r="H2079" s="122"/>
    </row>
    <row r="2080" spans="1:8" ht="14.1" customHeight="1">
      <c r="C2080" s="124"/>
      <c r="D2080" s="300"/>
      <c r="E2080" s="361"/>
      <c r="F2080" s="301" t="s">
        <v>93</v>
      </c>
      <c r="G2080" s="313">
        <f>SUM(G2078:G2079)</f>
        <v>16.920000000000002</v>
      </c>
      <c r="H2080" s="394"/>
    </row>
    <row r="2081" spans="1:8">
      <c r="A2081" s="362"/>
      <c r="B2081" s="363"/>
      <c r="C2081" s="364"/>
      <c r="D2081" s="362"/>
      <c r="E2081" s="363"/>
      <c r="F2081" s="363"/>
      <c r="G2081" s="363"/>
      <c r="H2081" s="362"/>
    </row>
    <row r="2083" spans="1:8">
      <c r="A2083" s="122" t="s">
        <v>1194</v>
      </c>
      <c r="C2083" s="124"/>
      <c r="D2083" s="122"/>
      <c r="E2083" s="128"/>
      <c r="H2083" s="122"/>
    </row>
    <row r="2084" spans="1:8">
      <c r="A2084" s="148" t="s">
        <v>1666</v>
      </c>
      <c r="C2084" s="124"/>
      <c r="D2084" s="122"/>
      <c r="E2084" s="128"/>
      <c r="H2084" s="122"/>
    </row>
    <row r="2085" spans="1:8" ht="27.75" customHeight="1">
      <c r="A2085" s="352" t="s">
        <v>1450</v>
      </c>
      <c r="B2085" s="1161" t="s">
        <v>1658</v>
      </c>
      <c r="C2085" s="1161"/>
      <c r="D2085" s="1161"/>
      <c r="E2085" s="393" t="s">
        <v>1452</v>
      </c>
      <c r="G2085" s="353"/>
      <c r="H2085" s="122"/>
    </row>
    <row r="2086" spans="1:8" ht="20.399999999999999">
      <c r="A2086" s="309" t="s">
        <v>30</v>
      </c>
      <c r="B2086" s="354" t="s">
        <v>19</v>
      </c>
      <c r="C2086" s="293" t="s">
        <v>81</v>
      </c>
      <c r="D2086" s="294" t="s">
        <v>77</v>
      </c>
      <c r="E2086" s="294" t="s">
        <v>82</v>
      </c>
      <c r="F2086" s="295" t="s">
        <v>83</v>
      </c>
      <c r="G2086" s="355" t="s">
        <v>84</v>
      </c>
      <c r="H2086" s="122"/>
    </row>
    <row r="2087" spans="1:8" ht="27" customHeight="1">
      <c r="A2087" s="365" t="s">
        <v>1663</v>
      </c>
      <c r="B2087" s="356" t="s">
        <v>1664</v>
      </c>
      <c r="C2087" s="293" t="s">
        <v>87</v>
      </c>
      <c r="D2087" s="461" t="s">
        <v>391</v>
      </c>
      <c r="E2087" s="357">
        <v>1.0609999999999999</v>
      </c>
      <c r="F2087" s="295">
        <v>2.87</v>
      </c>
      <c r="G2087" s="312">
        <f>TRUNC(E2087*F2087,2)</f>
        <v>3.04</v>
      </c>
      <c r="H2087" s="122"/>
    </row>
    <row r="2088" spans="1:8" ht="16.5" customHeight="1">
      <c r="A2088" s="365" t="s">
        <v>302</v>
      </c>
      <c r="B2088" s="356" t="s">
        <v>1665</v>
      </c>
      <c r="C2088" s="293" t="s">
        <v>87</v>
      </c>
      <c r="D2088" s="461" t="s">
        <v>381</v>
      </c>
      <c r="E2088" s="357">
        <v>0.123</v>
      </c>
      <c r="F2088" s="295">
        <v>1.64</v>
      </c>
      <c r="G2088" s="312">
        <f>TRUNC(E2088*F2088,2)</f>
        <v>0.2</v>
      </c>
      <c r="H2088" s="122"/>
    </row>
    <row r="2089" spans="1:8" ht="15" customHeight="1">
      <c r="A2089" s="1141">
        <v>88248</v>
      </c>
      <c r="B2089" s="1129" t="s">
        <v>307</v>
      </c>
      <c r="C2089" s="293" t="s">
        <v>104</v>
      </c>
      <c r="D2089" s="1153" t="s">
        <v>383</v>
      </c>
      <c r="E2089" s="1165">
        <v>0.308</v>
      </c>
      <c r="F2089" s="349">
        <f>G321</f>
        <v>10.98</v>
      </c>
      <c r="G2089" s="358">
        <f>TRUNC(E2089*F2089,2)</f>
        <v>3.38</v>
      </c>
      <c r="H2089" s="122"/>
    </row>
    <row r="2090" spans="1:8" ht="15" customHeight="1">
      <c r="A2090" s="1142"/>
      <c r="B2090" s="1130"/>
      <c r="C2090" s="293" t="s">
        <v>87</v>
      </c>
      <c r="D2090" s="1154"/>
      <c r="E2090" s="1166"/>
      <c r="F2090" s="349">
        <f>G322</f>
        <v>4.4000000000000004</v>
      </c>
      <c r="G2090" s="312">
        <f>TRUNC(E2089*F2090,2)</f>
        <v>1.35</v>
      </c>
      <c r="H2090" s="122"/>
    </row>
    <row r="2091" spans="1:8" ht="15" customHeight="1">
      <c r="A2091" s="1141">
        <v>88267</v>
      </c>
      <c r="B2091" s="1129" t="s">
        <v>271</v>
      </c>
      <c r="C2091" s="293" t="s">
        <v>104</v>
      </c>
      <c r="D2091" s="1153" t="s">
        <v>383</v>
      </c>
      <c r="E2091" s="1165">
        <v>0.308</v>
      </c>
      <c r="F2091" s="298">
        <f>G338</f>
        <v>15.5</v>
      </c>
      <c r="G2091" s="312">
        <f>TRUNC(E2091*F2091,2)</f>
        <v>4.7699999999999996</v>
      </c>
      <c r="H2091" s="122"/>
    </row>
    <row r="2092" spans="1:8" ht="15" customHeight="1">
      <c r="A2092" s="1142"/>
      <c r="B2092" s="1130"/>
      <c r="C2092" s="293" t="s">
        <v>87</v>
      </c>
      <c r="D2092" s="1154"/>
      <c r="E2092" s="1166"/>
      <c r="F2092" s="298">
        <f>G339</f>
        <v>4.4000000000000004</v>
      </c>
      <c r="G2092" s="312">
        <f t="shared" ref="G2092" si="106">TRUNC(E2091*F2092,2)</f>
        <v>1.35</v>
      </c>
      <c r="H2092" s="122"/>
    </row>
    <row r="2093" spans="1:8" ht="15" customHeight="1">
      <c r="C2093" s="124"/>
      <c r="D2093" s="320"/>
      <c r="E2093" s="359"/>
      <c r="F2093" s="360" t="s">
        <v>90</v>
      </c>
      <c r="G2093" s="322">
        <f>G2089+G2091</f>
        <v>8.1499999999999986</v>
      </c>
      <c r="H2093" s="122"/>
    </row>
    <row r="2094" spans="1:8" ht="15" customHeight="1">
      <c r="C2094" s="124"/>
      <c r="D2094" s="300"/>
      <c r="E2094" s="361"/>
      <c r="F2094" s="301" t="s">
        <v>92</v>
      </c>
      <c r="G2094" s="312">
        <f>G2087+G2088+G2090+G2092</f>
        <v>5.9399999999999995</v>
      </c>
      <c r="H2094" s="122"/>
    </row>
    <row r="2095" spans="1:8" ht="15" customHeight="1">
      <c r="C2095" s="124"/>
      <c r="D2095" s="300"/>
      <c r="E2095" s="361"/>
      <c r="F2095" s="301" t="s">
        <v>93</v>
      </c>
      <c r="G2095" s="313">
        <f>SUM(G2093:G2094)</f>
        <v>14.089999999999998</v>
      </c>
      <c r="H2095" s="394"/>
    </row>
    <row r="2096" spans="1:8">
      <c r="A2096" s="362"/>
      <c r="B2096" s="363"/>
      <c r="C2096" s="364"/>
      <c r="D2096" s="362"/>
      <c r="E2096" s="363"/>
      <c r="F2096" s="363"/>
      <c r="G2096" s="363"/>
      <c r="H2096" s="362"/>
    </row>
    <row r="2098" spans="1:8">
      <c r="A2098" s="122" t="s">
        <v>1194</v>
      </c>
      <c r="C2098" s="124"/>
      <c r="D2098" s="122"/>
      <c r="E2098" s="128"/>
      <c r="H2098" s="122"/>
    </row>
    <row r="2099" spans="1:8">
      <c r="A2099" s="148" t="s">
        <v>1667</v>
      </c>
      <c r="C2099" s="124"/>
      <c r="D2099" s="122"/>
      <c r="E2099" s="128"/>
      <c r="H2099" s="122"/>
    </row>
    <row r="2100" spans="1:8" ht="27" customHeight="1">
      <c r="A2100" s="352" t="s">
        <v>1450</v>
      </c>
      <c r="B2100" s="1161" t="s">
        <v>1659</v>
      </c>
      <c r="C2100" s="1161"/>
      <c r="D2100" s="1161"/>
      <c r="E2100" s="393" t="s">
        <v>1452</v>
      </c>
      <c r="G2100" s="353"/>
      <c r="H2100" s="122"/>
    </row>
    <row r="2101" spans="1:8" ht="20.399999999999999">
      <c r="A2101" s="309" t="s">
        <v>30</v>
      </c>
      <c r="B2101" s="354" t="s">
        <v>19</v>
      </c>
      <c r="C2101" s="293" t="s">
        <v>81</v>
      </c>
      <c r="D2101" s="294" t="s">
        <v>77</v>
      </c>
      <c r="E2101" s="294" t="s">
        <v>82</v>
      </c>
      <c r="F2101" s="295" t="s">
        <v>83</v>
      </c>
      <c r="G2101" s="355" t="s">
        <v>84</v>
      </c>
      <c r="H2101" s="122"/>
    </row>
    <row r="2102" spans="1:8" ht="14.1" customHeight="1">
      <c r="A2102" s="365" t="s">
        <v>293</v>
      </c>
      <c r="B2102" s="356" t="s">
        <v>294</v>
      </c>
      <c r="C2102" s="293" t="s">
        <v>87</v>
      </c>
      <c r="D2102" s="461" t="s">
        <v>381</v>
      </c>
      <c r="E2102" s="357">
        <v>7.0000000000000001E-3</v>
      </c>
      <c r="F2102" s="295">
        <v>49.68</v>
      </c>
      <c r="G2102" s="312">
        <f>TRUNC(E2102*F2102,2)</f>
        <v>0.34</v>
      </c>
      <c r="H2102" s="122"/>
    </row>
    <row r="2103" spans="1:8" ht="20.399999999999999">
      <c r="A2103" s="365" t="s">
        <v>1668</v>
      </c>
      <c r="B2103" s="356" t="s">
        <v>1669</v>
      </c>
      <c r="C2103" s="293" t="s">
        <v>87</v>
      </c>
      <c r="D2103" s="461" t="s">
        <v>381</v>
      </c>
      <c r="E2103" s="357">
        <v>1</v>
      </c>
      <c r="F2103" s="295">
        <v>0.59</v>
      </c>
      <c r="G2103" s="312">
        <f t="shared" ref="G2103:G2104" si="107">TRUNC(E2103*F2103,2)</f>
        <v>0.59</v>
      </c>
      <c r="H2103" s="122"/>
    </row>
    <row r="2104" spans="1:8" ht="15" customHeight="1">
      <c r="A2104" s="365" t="s">
        <v>298</v>
      </c>
      <c r="B2104" s="356" t="s">
        <v>299</v>
      </c>
      <c r="C2104" s="293" t="s">
        <v>87</v>
      </c>
      <c r="D2104" s="461" t="s">
        <v>381</v>
      </c>
      <c r="E2104" s="357">
        <v>8.0000000000000002E-3</v>
      </c>
      <c r="F2104" s="295">
        <v>43.14</v>
      </c>
      <c r="G2104" s="312">
        <f t="shared" si="107"/>
        <v>0.34</v>
      </c>
      <c r="H2104" s="122"/>
    </row>
    <row r="2105" spans="1:8" ht="14.1" customHeight="1">
      <c r="A2105" s="365" t="s">
        <v>302</v>
      </c>
      <c r="B2105" s="356" t="s">
        <v>1665</v>
      </c>
      <c r="C2105" s="293" t="s">
        <v>87</v>
      </c>
      <c r="D2105" s="461" t="s">
        <v>381</v>
      </c>
      <c r="E2105" s="357">
        <v>0.05</v>
      </c>
      <c r="F2105" s="295">
        <v>1.64</v>
      </c>
      <c r="G2105" s="312">
        <f>TRUNC(E2105*F2105,2)</f>
        <v>0.08</v>
      </c>
      <c r="H2105" s="122"/>
    </row>
    <row r="2106" spans="1:8" ht="15.9" customHeight="1">
      <c r="A2106" s="1141">
        <v>88248</v>
      </c>
      <c r="B2106" s="1129" t="s">
        <v>307</v>
      </c>
      <c r="C2106" s="293" t="s">
        <v>104</v>
      </c>
      <c r="D2106" s="1153" t="s">
        <v>383</v>
      </c>
      <c r="E2106" s="1165">
        <v>0.15</v>
      </c>
      <c r="F2106" s="349">
        <f>G321</f>
        <v>10.98</v>
      </c>
      <c r="G2106" s="358">
        <f>TRUNC(E2106*F2106,2)</f>
        <v>1.64</v>
      </c>
      <c r="H2106" s="122"/>
    </row>
    <row r="2107" spans="1:8" ht="15.9" customHeight="1">
      <c r="A2107" s="1142"/>
      <c r="B2107" s="1130"/>
      <c r="C2107" s="293" t="s">
        <v>87</v>
      </c>
      <c r="D2107" s="1154"/>
      <c r="E2107" s="1166"/>
      <c r="F2107" s="349">
        <f>G322</f>
        <v>4.4000000000000004</v>
      </c>
      <c r="G2107" s="312">
        <f>TRUNC(E2106*F2107,2)</f>
        <v>0.66</v>
      </c>
      <c r="H2107" s="122"/>
    </row>
    <row r="2108" spans="1:8" ht="15.9" customHeight="1">
      <c r="A2108" s="1141">
        <v>88267</v>
      </c>
      <c r="B2108" s="1129" t="s">
        <v>271</v>
      </c>
      <c r="C2108" s="293" t="s">
        <v>104</v>
      </c>
      <c r="D2108" s="1153" t="s">
        <v>383</v>
      </c>
      <c r="E2108" s="1165">
        <v>0.15</v>
      </c>
      <c r="F2108" s="298">
        <f>G338</f>
        <v>15.5</v>
      </c>
      <c r="G2108" s="312">
        <f>TRUNC(E2108*F2108,2)</f>
        <v>2.3199999999999998</v>
      </c>
      <c r="H2108" s="122"/>
    </row>
    <row r="2109" spans="1:8" ht="15.9" customHeight="1">
      <c r="A2109" s="1142"/>
      <c r="B2109" s="1130"/>
      <c r="C2109" s="293" t="s">
        <v>87</v>
      </c>
      <c r="D2109" s="1154"/>
      <c r="E2109" s="1166"/>
      <c r="F2109" s="298">
        <f>G339</f>
        <v>4.4000000000000004</v>
      </c>
      <c r="G2109" s="312">
        <f t="shared" ref="G2109" si="108">TRUNC(E2108*F2109,2)</f>
        <v>0.66</v>
      </c>
      <c r="H2109" s="122"/>
    </row>
    <row r="2110" spans="1:8" ht="14.1" customHeight="1">
      <c r="C2110" s="124"/>
      <c r="D2110" s="320"/>
      <c r="E2110" s="359"/>
      <c r="F2110" s="360" t="s">
        <v>90</v>
      </c>
      <c r="G2110" s="322">
        <f>G2106+G2108</f>
        <v>3.96</v>
      </c>
      <c r="H2110" s="122"/>
    </row>
    <row r="2111" spans="1:8" ht="14.1" customHeight="1">
      <c r="C2111" s="124"/>
      <c r="D2111" s="300"/>
      <c r="E2111" s="361"/>
      <c r="F2111" s="301" t="s">
        <v>92</v>
      </c>
      <c r="G2111" s="312">
        <f>G2102+G2103+G2104+G2105+G2107+G2109</f>
        <v>2.6700000000000004</v>
      </c>
      <c r="H2111" s="122"/>
    </row>
    <row r="2112" spans="1:8" ht="14.1" customHeight="1">
      <c r="C2112" s="124"/>
      <c r="D2112" s="300"/>
      <c r="E2112" s="361"/>
      <c r="F2112" s="301" t="s">
        <v>93</v>
      </c>
      <c r="G2112" s="313">
        <f>SUM(G2110:G2111)</f>
        <v>6.6300000000000008</v>
      </c>
      <c r="H2112" s="394"/>
    </row>
    <row r="2113" spans="1:8">
      <c r="A2113" s="362"/>
      <c r="B2113" s="363"/>
      <c r="C2113" s="364"/>
      <c r="D2113" s="362"/>
      <c r="E2113" s="363"/>
      <c r="F2113" s="363"/>
      <c r="G2113" s="363"/>
      <c r="H2113" s="362"/>
    </row>
    <row r="2115" spans="1:8">
      <c r="A2115" s="122" t="s">
        <v>1194</v>
      </c>
      <c r="C2115" s="124"/>
      <c r="D2115" s="122"/>
      <c r="E2115" s="128"/>
      <c r="H2115" s="122"/>
    </row>
    <row r="2116" spans="1:8">
      <c r="A2116" s="148" t="s">
        <v>1670</v>
      </c>
      <c r="C2116" s="124"/>
      <c r="D2116" s="122"/>
      <c r="E2116" s="128"/>
      <c r="H2116" s="122"/>
    </row>
    <row r="2117" spans="1:8" ht="33" customHeight="1">
      <c r="A2117" s="352" t="s">
        <v>1450</v>
      </c>
      <c r="B2117" s="1161" t="s">
        <v>1671</v>
      </c>
      <c r="C2117" s="1161"/>
      <c r="D2117" s="1161"/>
      <c r="E2117" s="393" t="s">
        <v>1452</v>
      </c>
      <c r="G2117" s="353"/>
      <c r="H2117" s="122"/>
    </row>
    <row r="2118" spans="1:8" ht="20.399999999999999">
      <c r="A2118" s="309" t="s">
        <v>30</v>
      </c>
      <c r="B2118" s="354" t="s">
        <v>19</v>
      </c>
      <c r="C2118" s="293" t="s">
        <v>81</v>
      </c>
      <c r="D2118" s="294" t="s">
        <v>77</v>
      </c>
      <c r="E2118" s="294" t="s">
        <v>82</v>
      </c>
      <c r="F2118" s="295" t="s">
        <v>83</v>
      </c>
      <c r="G2118" s="355" t="s">
        <v>84</v>
      </c>
      <c r="H2118" s="122"/>
    </row>
    <row r="2119" spans="1:8" ht="15" customHeight="1">
      <c r="A2119" s="365" t="s">
        <v>293</v>
      </c>
      <c r="B2119" s="356" t="s">
        <v>294</v>
      </c>
      <c r="C2119" s="293" t="s">
        <v>87</v>
      </c>
      <c r="D2119" s="461" t="s">
        <v>381</v>
      </c>
      <c r="E2119" s="357">
        <v>7.0000000000000001E-3</v>
      </c>
      <c r="F2119" s="295">
        <v>49.68</v>
      </c>
      <c r="G2119" s="312">
        <f>TRUNC(E2119*F2119,2)</f>
        <v>0.34</v>
      </c>
      <c r="H2119" s="122"/>
    </row>
    <row r="2120" spans="1:8" ht="20.399999999999999">
      <c r="A2120" s="365">
        <v>3524</v>
      </c>
      <c r="B2120" s="356" t="s">
        <v>1672</v>
      </c>
      <c r="C2120" s="293" t="s">
        <v>87</v>
      </c>
      <c r="D2120" s="461" t="s">
        <v>381</v>
      </c>
      <c r="E2120" s="357">
        <v>1</v>
      </c>
      <c r="F2120" s="295">
        <v>0.59</v>
      </c>
      <c r="G2120" s="312">
        <f t="shared" ref="G2120:G2121" si="109">TRUNC(E2120*F2120,2)</f>
        <v>0.59</v>
      </c>
      <c r="H2120" s="122"/>
    </row>
    <row r="2121" spans="1:8">
      <c r="A2121" s="365" t="s">
        <v>298</v>
      </c>
      <c r="B2121" s="356" t="s">
        <v>299</v>
      </c>
      <c r="C2121" s="293" t="s">
        <v>87</v>
      </c>
      <c r="D2121" s="461" t="s">
        <v>381</v>
      </c>
      <c r="E2121" s="357">
        <v>8.0000000000000002E-3</v>
      </c>
      <c r="F2121" s="295">
        <v>43.14</v>
      </c>
      <c r="G2121" s="312">
        <f t="shared" si="109"/>
        <v>0.34</v>
      </c>
      <c r="H2121" s="122"/>
    </row>
    <row r="2122" spans="1:8" ht="15" customHeight="1">
      <c r="A2122" s="365" t="s">
        <v>302</v>
      </c>
      <c r="B2122" s="356" t="s">
        <v>1665</v>
      </c>
      <c r="C2122" s="293" t="s">
        <v>87</v>
      </c>
      <c r="D2122" s="461" t="s">
        <v>381</v>
      </c>
      <c r="E2122" s="357">
        <v>0.05</v>
      </c>
      <c r="F2122" s="295">
        <v>1.64</v>
      </c>
      <c r="G2122" s="312">
        <f>TRUNC(E2122*F2122,2)</f>
        <v>0.08</v>
      </c>
      <c r="H2122" s="122"/>
    </row>
    <row r="2123" spans="1:8" ht="15.9" customHeight="1">
      <c r="A2123" s="1141">
        <v>88248</v>
      </c>
      <c r="B2123" s="1129" t="s">
        <v>307</v>
      </c>
      <c r="C2123" s="293" t="s">
        <v>104</v>
      </c>
      <c r="D2123" s="1153" t="s">
        <v>383</v>
      </c>
      <c r="E2123" s="1165">
        <v>0.15</v>
      </c>
      <c r="F2123" s="349">
        <f>G321</f>
        <v>10.98</v>
      </c>
      <c r="G2123" s="358">
        <f>TRUNC(E2123*F2123,2)</f>
        <v>1.64</v>
      </c>
      <c r="H2123" s="122"/>
    </row>
    <row r="2124" spans="1:8" ht="15.9" customHeight="1">
      <c r="A2124" s="1142"/>
      <c r="B2124" s="1130"/>
      <c r="C2124" s="293" t="s">
        <v>87</v>
      </c>
      <c r="D2124" s="1154"/>
      <c r="E2124" s="1166"/>
      <c r="F2124" s="349">
        <f>G322</f>
        <v>4.4000000000000004</v>
      </c>
      <c r="G2124" s="312">
        <f>TRUNC(E2123*F2124,2)</f>
        <v>0.66</v>
      </c>
      <c r="H2124" s="122"/>
    </row>
    <row r="2125" spans="1:8" ht="15.9" customHeight="1">
      <c r="A2125" s="1141">
        <v>88267</v>
      </c>
      <c r="B2125" s="1129" t="s">
        <v>271</v>
      </c>
      <c r="C2125" s="293" t="s">
        <v>104</v>
      </c>
      <c r="D2125" s="1153" t="s">
        <v>383</v>
      </c>
      <c r="E2125" s="1165">
        <v>0.15</v>
      </c>
      <c r="F2125" s="298">
        <f>G338</f>
        <v>15.5</v>
      </c>
      <c r="G2125" s="312">
        <f>TRUNC(E2125*F2125,2)</f>
        <v>2.3199999999999998</v>
      </c>
      <c r="H2125" s="122"/>
    </row>
    <row r="2126" spans="1:8" ht="15.9" customHeight="1">
      <c r="A2126" s="1142"/>
      <c r="B2126" s="1130"/>
      <c r="C2126" s="293" t="s">
        <v>87</v>
      </c>
      <c r="D2126" s="1154"/>
      <c r="E2126" s="1166"/>
      <c r="F2126" s="298">
        <f>G339</f>
        <v>4.4000000000000004</v>
      </c>
      <c r="G2126" s="312">
        <f t="shared" ref="G2126" si="110">TRUNC(E2125*F2126,2)</f>
        <v>0.66</v>
      </c>
      <c r="H2126" s="122"/>
    </row>
    <row r="2127" spans="1:8" ht="15" customHeight="1">
      <c r="C2127" s="124"/>
      <c r="D2127" s="320"/>
      <c r="E2127" s="359"/>
      <c r="F2127" s="360" t="s">
        <v>90</v>
      </c>
      <c r="G2127" s="322">
        <f>G2123+G2125</f>
        <v>3.96</v>
      </c>
      <c r="H2127" s="122"/>
    </row>
    <row r="2128" spans="1:8" ht="15" customHeight="1">
      <c r="C2128" s="124"/>
      <c r="D2128" s="300"/>
      <c r="E2128" s="361"/>
      <c r="F2128" s="301" t="s">
        <v>92</v>
      </c>
      <c r="G2128" s="312">
        <f>G2119+G2120+G2121+G2122+G2124+G2126</f>
        <v>2.6700000000000004</v>
      </c>
      <c r="H2128" s="122"/>
    </row>
    <row r="2129" spans="1:8" ht="15" customHeight="1">
      <c r="C2129" s="124"/>
      <c r="D2129" s="300"/>
      <c r="E2129" s="361"/>
      <c r="F2129" s="301" t="s">
        <v>93</v>
      </c>
      <c r="G2129" s="313">
        <f>SUM(G2127:G2128)</f>
        <v>6.6300000000000008</v>
      </c>
      <c r="H2129" s="394"/>
    </row>
    <row r="2130" spans="1:8">
      <c r="A2130" s="362"/>
      <c r="B2130" s="363"/>
      <c r="C2130" s="364"/>
      <c r="D2130" s="362"/>
      <c r="E2130" s="363"/>
      <c r="F2130" s="363"/>
      <c r="G2130" s="363"/>
      <c r="H2130" s="362"/>
    </row>
    <row r="2132" spans="1:8">
      <c r="A2132" s="122" t="s">
        <v>1194</v>
      </c>
      <c r="C2132" s="124"/>
      <c r="D2132" s="122"/>
      <c r="E2132" s="128"/>
      <c r="H2132" s="122"/>
    </row>
    <row r="2133" spans="1:8">
      <c r="A2133" s="148" t="s">
        <v>1673</v>
      </c>
      <c r="C2133" s="124"/>
      <c r="D2133" s="122"/>
      <c r="E2133" s="128"/>
      <c r="H2133" s="122"/>
    </row>
    <row r="2134" spans="1:8" ht="24.75" customHeight="1">
      <c r="A2134" s="352" t="s">
        <v>1450</v>
      </c>
      <c r="B2134" s="1161" t="s">
        <v>1661</v>
      </c>
      <c r="C2134" s="1161"/>
      <c r="D2134" s="1161"/>
      <c r="E2134" s="393" t="s">
        <v>1452</v>
      </c>
      <c r="G2134" s="353"/>
      <c r="H2134" s="122"/>
    </row>
    <row r="2135" spans="1:8" ht="20.399999999999999">
      <c r="A2135" s="309" t="s">
        <v>30</v>
      </c>
      <c r="B2135" s="354" t="s">
        <v>19</v>
      </c>
      <c r="C2135" s="293" t="s">
        <v>81</v>
      </c>
      <c r="D2135" s="294" t="s">
        <v>77</v>
      </c>
      <c r="E2135" s="294" t="s">
        <v>82</v>
      </c>
      <c r="F2135" s="295" t="s">
        <v>83</v>
      </c>
      <c r="G2135" s="355" t="s">
        <v>84</v>
      </c>
      <c r="H2135" s="122"/>
    </row>
    <row r="2136" spans="1:8" ht="15" customHeight="1">
      <c r="A2136" s="365" t="s">
        <v>293</v>
      </c>
      <c r="B2136" s="356" t="s">
        <v>294</v>
      </c>
      <c r="C2136" s="293" t="s">
        <v>87</v>
      </c>
      <c r="D2136" s="461" t="s">
        <v>381</v>
      </c>
      <c r="E2136" s="357">
        <v>1.0999999999999999E-2</v>
      </c>
      <c r="F2136" s="295">
        <v>49.68</v>
      </c>
      <c r="G2136" s="312">
        <f>TRUNC(E2136*F2136,2)</f>
        <v>0.54</v>
      </c>
      <c r="H2136" s="122"/>
    </row>
    <row r="2137" spans="1:8" ht="20.399999999999999">
      <c r="A2137" s="365" t="s">
        <v>1674</v>
      </c>
      <c r="B2137" s="356" t="s">
        <v>1675</v>
      </c>
      <c r="C2137" s="293" t="s">
        <v>87</v>
      </c>
      <c r="D2137" s="461" t="s">
        <v>381</v>
      </c>
      <c r="E2137" s="357">
        <v>1</v>
      </c>
      <c r="F2137" s="295">
        <v>0.98</v>
      </c>
      <c r="G2137" s="312">
        <f t="shared" ref="G2137:G2138" si="111">TRUNC(E2137*F2137,2)</f>
        <v>0.98</v>
      </c>
      <c r="H2137" s="122"/>
    </row>
    <row r="2138" spans="1:8">
      <c r="A2138" s="365" t="s">
        <v>298</v>
      </c>
      <c r="B2138" s="356" t="s">
        <v>299</v>
      </c>
      <c r="C2138" s="293" t="s">
        <v>87</v>
      </c>
      <c r="D2138" s="461" t="s">
        <v>381</v>
      </c>
      <c r="E2138" s="357">
        <v>1.2E-2</v>
      </c>
      <c r="F2138" s="295">
        <v>43.14</v>
      </c>
      <c r="G2138" s="312">
        <f t="shared" si="111"/>
        <v>0.51</v>
      </c>
      <c r="H2138" s="122"/>
    </row>
    <row r="2139" spans="1:8" ht="15" customHeight="1">
      <c r="A2139" s="365" t="s">
        <v>302</v>
      </c>
      <c r="B2139" s="356" t="s">
        <v>1665</v>
      </c>
      <c r="C2139" s="293" t="s">
        <v>87</v>
      </c>
      <c r="D2139" s="461" t="s">
        <v>381</v>
      </c>
      <c r="E2139" s="357">
        <v>7.4999999999999997E-2</v>
      </c>
      <c r="F2139" s="295">
        <v>1.64</v>
      </c>
      <c r="G2139" s="312">
        <f>TRUNC(E2139*F2139,2)</f>
        <v>0.12</v>
      </c>
      <c r="H2139" s="122"/>
    </row>
    <row r="2140" spans="1:8" ht="15" customHeight="1">
      <c r="A2140" s="1141">
        <v>88248</v>
      </c>
      <c r="B2140" s="1129" t="s">
        <v>307</v>
      </c>
      <c r="C2140" s="293" t="s">
        <v>104</v>
      </c>
      <c r="D2140" s="1153" t="s">
        <v>383</v>
      </c>
      <c r="E2140" s="1165">
        <v>0.2</v>
      </c>
      <c r="F2140" s="349">
        <f>G338</f>
        <v>15.5</v>
      </c>
      <c r="G2140" s="358">
        <f>TRUNC(E2140*F2140,2)</f>
        <v>3.1</v>
      </c>
      <c r="H2140" s="122"/>
    </row>
    <row r="2141" spans="1:8" ht="15" customHeight="1">
      <c r="A2141" s="1142"/>
      <c r="B2141" s="1130"/>
      <c r="C2141" s="293" t="s">
        <v>87</v>
      </c>
      <c r="D2141" s="1154"/>
      <c r="E2141" s="1166"/>
      <c r="F2141" s="349">
        <f>G339</f>
        <v>4.4000000000000004</v>
      </c>
      <c r="G2141" s="312">
        <f>TRUNC(E2140*F2141,2)</f>
        <v>0.88</v>
      </c>
      <c r="H2141" s="122"/>
    </row>
    <row r="2142" spans="1:8" ht="15" customHeight="1">
      <c r="A2142" s="1141">
        <v>88267</v>
      </c>
      <c r="B2142" s="1129" t="s">
        <v>271</v>
      </c>
      <c r="C2142" s="293" t="s">
        <v>104</v>
      </c>
      <c r="D2142" s="1153" t="s">
        <v>383</v>
      </c>
      <c r="E2142" s="1165">
        <v>0.2</v>
      </c>
      <c r="F2142" s="298">
        <f>G338</f>
        <v>15.5</v>
      </c>
      <c r="G2142" s="312">
        <f>TRUNC(E2142*F2142,2)</f>
        <v>3.1</v>
      </c>
      <c r="H2142" s="122"/>
    </row>
    <row r="2143" spans="1:8" ht="15" customHeight="1">
      <c r="A2143" s="1142"/>
      <c r="B2143" s="1130"/>
      <c r="C2143" s="293" t="s">
        <v>87</v>
      </c>
      <c r="D2143" s="1154"/>
      <c r="E2143" s="1166"/>
      <c r="F2143" s="298">
        <f>G339</f>
        <v>4.4000000000000004</v>
      </c>
      <c r="G2143" s="312">
        <f t="shared" ref="G2143" si="112">TRUNC(E2142*F2143,2)</f>
        <v>0.88</v>
      </c>
      <c r="H2143" s="122"/>
    </row>
    <row r="2144" spans="1:8" ht="15" customHeight="1">
      <c r="C2144" s="124"/>
      <c r="D2144" s="320"/>
      <c r="E2144" s="359"/>
      <c r="F2144" s="360" t="s">
        <v>90</v>
      </c>
      <c r="G2144" s="322">
        <f>G2140+G2142</f>
        <v>6.2</v>
      </c>
      <c r="H2144" s="122"/>
    </row>
    <row r="2145" spans="1:8" ht="15" customHeight="1">
      <c r="C2145" s="124"/>
      <c r="D2145" s="300"/>
      <c r="E2145" s="361"/>
      <c r="F2145" s="301" t="s">
        <v>92</v>
      </c>
      <c r="G2145" s="312">
        <f>G2136+G2137+G2138+G2139+G2141+G2143</f>
        <v>3.91</v>
      </c>
      <c r="H2145" s="122"/>
    </row>
    <row r="2146" spans="1:8" ht="15" customHeight="1">
      <c r="C2146" s="124"/>
      <c r="D2146" s="300"/>
      <c r="E2146" s="361"/>
      <c r="F2146" s="301" t="s">
        <v>93</v>
      </c>
      <c r="G2146" s="313">
        <f>SUM(G2144:G2145)</f>
        <v>10.11</v>
      </c>
      <c r="H2146" s="394"/>
    </row>
    <row r="2147" spans="1:8">
      <c r="A2147" s="362"/>
      <c r="B2147" s="363"/>
      <c r="C2147" s="364"/>
      <c r="D2147" s="362"/>
      <c r="E2147" s="363"/>
      <c r="F2147" s="363"/>
      <c r="G2147" s="363"/>
      <c r="H2147" s="362"/>
    </row>
    <row r="2149" spans="1:8">
      <c r="A2149" s="122" t="s">
        <v>1194</v>
      </c>
      <c r="C2149" s="124"/>
      <c r="D2149" s="122"/>
      <c r="E2149" s="128"/>
      <c r="H2149" s="122"/>
    </row>
    <row r="2150" spans="1:8">
      <c r="A2150" s="148" t="s">
        <v>1754</v>
      </c>
      <c r="C2150" s="124"/>
      <c r="D2150" s="122"/>
      <c r="E2150" s="128"/>
      <c r="H2150" s="122"/>
    </row>
    <row r="2151" spans="1:8" ht="27" customHeight="1">
      <c r="A2151" s="352" t="s">
        <v>1450</v>
      </c>
      <c r="B2151" s="352" t="s">
        <v>1755</v>
      </c>
      <c r="C2151" s="290" t="s">
        <v>1452</v>
      </c>
      <c r="D2151" s="352"/>
      <c r="G2151" s="353"/>
      <c r="H2151" s="122"/>
    </row>
    <row r="2152" spans="1:8" ht="20.399999999999999">
      <c r="A2152" s="309" t="s">
        <v>30</v>
      </c>
      <c r="B2152" s="354" t="s">
        <v>19</v>
      </c>
      <c r="C2152" s="293" t="s">
        <v>81</v>
      </c>
      <c r="D2152" s="294" t="s">
        <v>77</v>
      </c>
      <c r="E2152" s="294" t="s">
        <v>82</v>
      </c>
      <c r="F2152" s="295" t="s">
        <v>83</v>
      </c>
      <c r="G2152" s="355" t="s">
        <v>84</v>
      </c>
      <c r="H2152" s="122"/>
    </row>
    <row r="2153" spans="1:8" ht="15" customHeight="1">
      <c r="A2153" s="365" t="s">
        <v>265</v>
      </c>
      <c r="B2153" s="356" t="s">
        <v>266</v>
      </c>
      <c r="C2153" s="293" t="s">
        <v>87</v>
      </c>
      <c r="D2153" s="461" t="s">
        <v>381</v>
      </c>
      <c r="E2153" s="357">
        <v>1.7500000000000002E-2</v>
      </c>
      <c r="F2153" s="295">
        <v>3.39</v>
      </c>
      <c r="G2153" s="312">
        <f>TRUNC(E2153*F2153,2)</f>
        <v>0.05</v>
      </c>
      <c r="H2153" s="122"/>
    </row>
    <row r="2154" spans="1:8" ht="15" customHeight="1">
      <c r="A2154" s="365" t="s">
        <v>1756</v>
      </c>
      <c r="B2154" s="356" t="s">
        <v>1757</v>
      </c>
      <c r="C2154" s="293" t="s">
        <v>87</v>
      </c>
      <c r="D2154" s="461" t="s">
        <v>381</v>
      </c>
      <c r="E2154" s="357">
        <v>1</v>
      </c>
      <c r="F2154" s="295">
        <v>32.880000000000003</v>
      </c>
      <c r="G2154" s="312">
        <f>TRUNC(E2154*F2154,2)</f>
        <v>32.880000000000003</v>
      </c>
      <c r="H2154" s="122"/>
    </row>
    <row r="2155" spans="1:8" ht="15" customHeight="1">
      <c r="A2155" s="1141">
        <v>88316</v>
      </c>
      <c r="B2155" s="1129" t="s">
        <v>110</v>
      </c>
      <c r="C2155" s="293" t="s">
        <v>104</v>
      </c>
      <c r="D2155" s="1153" t="s">
        <v>383</v>
      </c>
      <c r="E2155" s="1165">
        <v>0.05</v>
      </c>
      <c r="F2155" s="349">
        <f>G104</f>
        <v>11.18</v>
      </c>
      <c r="G2155" s="358">
        <f>TRUNC(E2155*F2155,2)</f>
        <v>0.55000000000000004</v>
      </c>
      <c r="H2155" s="122"/>
    </row>
    <row r="2156" spans="1:8" ht="15" customHeight="1">
      <c r="A2156" s="1142"/>
      <c r="B2156" s="1130"/>
      <c r="C2156" s="293" t="s">
        <v>87</v>
      </c>
      <c r="D2156" s="1154"/>
      <c r="E2156" s="1166"/>
      <c r="F2156" s="349">
        <f>G105</f>
        <v>4.7300000000000004</v>
      </c>
      <c r="G2156" s="312">
        <f>TRUNC(E2155*F2156,2)</f>
        <v>0.23</v>
      </c>
      <c r="H2156" s="122"/>
    </row>
    <row r="2157" spans="1:8" ht="15" customHeight="1">
      <c r="A2157" s="1141">
        <v>88267</v>
      </c>
      <c r="B2157" s="1129" t="s">
        <v>271</v>
      </c>
      <c r="C2157" s="293" t="s">
        <v>104</v>
      </c>
      <c r="D2157" s="1153" t="s">
        <v>383</v>
      </c>
      <c r="E2157" s="1165">
        <v>0.15</v>
      </c>
      <c r="F2157" s="298">
        <f>G338</f>
        <v>15.5</v>
      </c>
      <c r="G2157" s="312">
        <f>TRUNC(E2157*F2157,2)</f>
        <v>2.3199999999999998</v>
      </c>
      <c r="H2157" s="122"/>
    </row>
    <row r="2158" spans="1:8" ht="15" customHeight="1">
      <c r="A2158" s="1142"/>
      <c r="B2158" s="1130"/>
      <c r="C2158" s="293" t="s">
        <v>87</v>
      </c>
      <c r="D2158" s="1154"/>
      <c r="E2158" s="1166"/>
      <c r="F2158" s="298">
        <f>G339</f>
        <v>4.4000000000000004</v>
      </c>
      <c r="G2158" s="312">
        <f t="shared" ref="G2158" si="113">TRUNC(E2157*F2158,2)</f>
        <v>0.66</v>
      </c>
      <c r="H2158" s="122"/>
    </row>
    <row r="2159" spans="1:8" ht="15" customHeight="1">
      <c r="C2159" s="124"/>
      <c r="D2159" s="320"/>
      <c r="E2159" s="359"/>
      <c r="F2159" s="360" t="s">
        <v>90</v>
      </c>
      <c r="G2159" s="322">
        <f>G2155+G2157</f>
        <v>2.87</v>
      </c>
      <c r="H2159" s="122"/>
    </row>
    <row r="2160" spans="1:8" ht="15" customHeight="1">
      <c r="C2160" s="124"/>
      <c r="D2160" s="300"/>
      <c r="E2160" s="361"/>
      <c r="F2160" s="301" t="s">
        <v>92</v>
      </c>
      <c r="G2160" s="312">
        <f>G2153+G2154+G2156+G2158</f>
        <v>33.819999999999993</v>
      </c>
      <c r="H2160" s="122"/>
    </row>
    <row r="2161" spans="1:8" ht="15" customHeight="1">
      <c r="C2161" s="124"/>
      <c r="D2161" s="300"/>
      <c r="E2161" s="361"/>
      <c r="F2161" s="301" t="s">
        <v>93</v>
      </c>
      <c r="G2161" s="313">
        <f>SUM(G2159:G2160)</f>
        <v>36.689999999999991</v>
      </c>
      <c r="H2161" s="394"/>
    </row>
    <row r="2162" spans="1:8">
      <c r="A2162" s="362"/>
      <c r="B2162" s="363"/>
      <c r="C2162" s="364"/>
      <c r="D2162" s="362"/>
      <c r="E2162" s="363"/>
      <c r="F2162" s="363"/>
      <c r="G2162" s="363"/>
      <c r="H2162" s="362"/>
    </row>
    <row r="2164" spans="1:8">
      <c r="A2164" s="122" t="s">
        <v>1194</v>
      </c>
      <c r="C2164" s="124"/>
      <c r="D2164" s="122"/>
      <c r="E2164" s="128"/>
      <c r="H2164" s="122"/>
    </row>
    <row r="2165" spans="1:8">
      <c r="A2165" s="148" t="s">
        <v>1758</v>
      </c>
      <c r="C2165" s="124"/>
      <c r="D2165" s="122"/>
      <c r="E2165" s="128"/>
      <c r="H2165" s="122"/>
    </row>
    <row r="2166" spans="1:8" ht="25.5" customHeight="1">
      <c r="A2166" s="352" t="s">
        <v>1450</v>
      </c>
      <c r="B2166" s="352" t="s">
        <v>1696</v>
      </c>
      <c r="C2166" s="290" t="s">
        <v>1452</v>
      </c>
      <c r="D2166" s="352"/>
      <c r="G2166" s="353"/>
      <c r="H2166" s="122"/>
    </row>
    <row r="2167" spans="1:8" ht="24.75" customHeight="1">
      <c r="A2167" s="309" t="s">
        <v>30</v>
      </c>
      <c r="B2167" s="354" t="s">
        <v>19</v>
      </c>
      <c r="C2167" s="293" t="s">
        <v>81</v>
      </c>
      <c r="D2167" s="294" t="s">
        <v>77</v>
      </c>
      <c r="E2167" s="294" t="s">
        <v>82</v>
      </c>
      <c r="F2167" s="295" t="s">
        <v>83</v>
      </c>
      <c r="G2167" s="355" t="s">
        <v>84</v>
      </c>
      <c r="H2167" s="122"/>
    </row>
    <row r="2168" spans="1:8" ht="30.6">
      <c r="A2168" s="365" t="s">
        <v>1759</v>
      </c>
      <c r="B2168" s="356" t="s">
        <v>1760</v>
      </c>
      <c r="C2168" s="293" t="s">
        <v>87</v>
      </c>
      <c r="D2168" s="461" t="s">
        <v>381</v>
      </c>
      <c r="E2168" s="357">
        <v>2</v>
      </c>
      <c r="F2168" s="295">
        <v>11.94</v>
      </c>
      <c r="G2168" s="312">
        <f>TRUNC(E2168*F2168,2)</f>
        <v>23.88</v>
      </c>
      <c r="H2168" s="122"/>
    </row>
    <row r="2169" spans="1:8" ht="14.1" customHeight="1">
      <c r="A2169" s="365" t="s">
        <v>1761</v>
      </c>
      <c r="B2169" s="356" t="s">
        <v>1764</v>
      </c>
      <c r="C2169" s="293" t="s">
        <v>87</v>
      </c>
      <c r="D2169" s="461" t="s">
        <v>381</v>
      </c>
      <c r="E2169" s="357">
        <v>1</v>
      </c>
      <c r="F2169" s="295">
        <v>1.54</v>
      </c>
      <c r="G2169" s="312">
        <f t="shared" ref="G2169:G2170" si="114">TRUNC(E2169*F2169,2)</f>
        <v>1.54</v>
      </c>
      <c r="H2169" s="122"/>
    </row>
    <row r="2170" spans="1:8" ht="20.399999999999999">
      <c r="A2170" s="365" t="s">
        <v>1762</v>
      </c>
      <c r="B2170" s="356" t="s">
        <v>1763</v>
      </c>
      <c r="C2170" s="293" t="s">
        <v>87</v>
      </c>
      <c r="D2170" s="461" t="s">
        <v>381</v>
      </c>
      <c r="E2170" s="357">
        <v>1</v>
      </c>
      <c r="F2170" s="295">
        <v>293.29000000000002</v>
      </c>
      <c r="G2170" s="312">
        <f t="shared" si="114"/>
        <v>293.29000000000002</v>
      </c>
      <c r="H2170" s="122"/>
    </row>
    <row r="2171" spans="1:8" ht="14.1" customHeight="1">
      <c r="A2171" s="365" t="s">
        <v>242</v>
      </c>
      <c r="B2171" s="356" t="s">
        <v>243</v>
      </c>
      <c r="C2171" s="293" t="s">
        <v>87</v>
      </c>
      <c r="D2171" s="461" t="s">
        <v>1319</v>
      </c>
      <c r="E2171" s="513">
        <v>0.1469</v>
      </c>
      <c r="F2171" s="349">
        <v>44.3</v>
      </c>
      <c r="G2171" s="312">
        <f>TRUNC(E2171*F2171,2)</f>
        <v>6.5</v>
      </c>
      <c r="H2171" s="122"/>
    </row>
    <row r="2172" spans="1:8" ht="14.1" customHeight="1">
      <c r="A2172" s="1141">
        <v>88316</v>
      </c>
      <c r="B2172" s="1129" t="s">
        <v>110</v>
      </c>
      <c r="C2172" s="293" t="s">
        <v>104</v>
      </c>
      <c r="D2172" s="1153" t="s">
        <v>383</v>
      </c>
      <c r="E2172" s="1165">
        <v>0.44</v>
      </c>
      <c r="F2172" s="349">
        <f>G104</f>
        <v>11.18</v>
      </c>
      <c r="G2172" s="358">
        <f>TRUNC(E2172*F2172,2)</f>
        <v>4.91</v>
      </c>
      <c r="H2172" s="122"/>
    </row>
    <row r="2173" spans="1:8" ht="14.1" customHeight="1">
      <c r="A2173" s="1142"/>
      <c r="B2173" s="1130"/>
      <c r="C2173" s="293" t="s">
        <v>87</v>
      </c>
      <c r="D2173" s="1154"/>
      <c r="E2173" s="1166"/>
      <c r="F2173" s="349">
        <f>G105</f>
        <v>4.7300000000000004</v>
      </c>
      <c r="G2173" s="312">
        <f>TRUNC(E2172*F2173,2)</f>
        <v>2.08</v>
      </c>
      <c r="H2173" s="122"/>
    </row>
    <row r="2174" spans="1:8" ht="14.1" customHeight="1">
      <c r="A2174" s="1141">
        <v>88267</v>
      </c>
      <c r="B2174" s="1129" t="s">
        <v>271</v>
      </c>
      <c r="C2174" s="293" t="s">
        <v>104</v>
      </c>
      <c r="D2174" s="1153" t="s">
        <v>383</v>
      </c>
      <c r="E2174" s="1165">
        <v>0.78</v>
      </c>
      <c r="F2174" s="298">
        <f>G338</f>
        <v>15.5</v>
      </c>
      <c r="G2174" s="312">
        <f>TRUNC(E2174*F2174,2)</f>
        <v>12.09</v>
      </c>
      <c r="H2174" s="122"/>
    </row>
    <row r="2175" spans="1:8" ht="14.1" customHeight="1">
      <c r="A2175" s="1142"/>
      <c r="B2175" s="1130"/>
      <c r="C2175" s="293" t="s">
        <v>87</v>
      </c>
      <c r="D2175" s="1154"/>
      <c r="E2175" s="1166"/>
      <c r="F2175" s="298">
        <f>G339</f>
        <v>4.4000000000000004</v>
      </c>
      <c r="G2175" s="312">
        <f t="shared" ref="G2175" si="115">TRUNC(E2174*F2175,2)</f>
        <v>3.43</v>
      </c>
      <c r="H2175" s="122"/>
    </row>
    <row r="2176" spans="1:8" ht="14.1" customHeight="1">
      <c r="C2176" s="124"/>
      <c r="D2176" s="320"/>
      <c r="E2176" s="359"/>
      <c r="F2176" s="360" t="s">
        <v>90</v>
      </c>
      <c r="G2176" s="322">
        <f>G2172+G2174</f>
        <v>17</v>
      </c>
      <c r="H2176" s="122"/>
    </row>
    <row r="2177" spans="1:8" ht="14.1" customHeight="1">
      <c r="C2177" s="124"/>
      <c r="D2177" s="300"/>
      <c r="E2177" s="361"/>
      <c r="F2177" s="301" t="s">
        <v>92</v>
      </c>
      <c r="G2177" s="312">
        <f>G2168+G2169+G2170+G2171+G2173+G2175</f>
        <v>330.72</v>
      </c>
      <c r="H2177" s="122"/>
    </row>
    <row r="2178" spans="1:8" ht="14.1" customHeight="1">
      <c r="C2178" s="124"/>
      <c r="D2178" s="300"/>
      <c r="E2178" s="361"/>
      <c r="F2178" s="301" t="s">
        <v>93</v>
      </c>
      <c r="G2178" s="313">
        <f>SUM(G2176:G2177)</f>
        <v>347.72</v>
      </c>
      <c r="H2178" s="394"/>
    </row>
    <row r="2179" spans="1:8">
      <c r="A2179" s="362"/>
      <c r="B2179" s="363"/>
      <c r="C2179" s="364"/>
      <c r="D2179" s="362"/>
      <c r="E2179" s="363"/>
      <c r="F2179" s="363"/>
      <c r="G2179" s="363"/>
      <c r="H2179" s="362"/>
    </row>
    <row r="2181" spans="1:8">
      <c r="A2181" s="122" t="s">
        <v>1194</v>
      </c>
      <c r="C2181" s="124"/>
      <c r="D2181" s="122"/>
      <c r="E2181" s="128"/>
      <c r="H2181" s="122"/>
    </row>
    <row r="2182" spans="1:8">
      <c r="A2182" s="148" t="s">
        <v>1768</v>
      </c>
      <c r="C2182" s="124"/>
      <c r="D2182" s="122"/>
      <c r="E2182" s="128"/>
      <c r="H2182" s="122"/>
    </row>
    <row r="2183" spans="1:8" ht="27.75" customHeight="1">
      <c r="A2183" s="352" t="s">
        <v>1450</v>
      </c>
      <c r="B2183" s="352" t="s">
        <v>1769</v>
      </c>
      <c r="C2183" s="290" t="s">
        <v>1452</v>
      </c>
      <c r="D2183" s="352"/>
      <c r="G2183" s="353"/>
      <c r="H2183" s="122"/>
    </row>
    <row r="2184" spans="1:8" ht="24" customHeight="1">
      <c r="A2184" s="309" t="s">
        <v>30</v>
      </c>
      <c r="B2184" s="354" t="s">
        <v>19</v>
      </c>
      <c r="C2184" s="293" t="s">
        <v>81</v>
      </c>
      <c r="D2184" s="294" t="s">
        <v>77</v>
      </c>
      <c r="E2184" s="294" t="s">
        <v>82</v>
      </c>
      <c r="F2184" s="295" t="s">
        <v>83</v>
      </c>
      <c r="G2184" s="355" t="s">
        <v>84</v>
      </c>
      <c r="H2184" s="122"/>
    </row>
    <row r="2185" spans="1:8" ht="30.6">
      <c r="A2185" s="365" t="s">
        <v>1759</v>
      </c>
      <c r="B2185" s="356" t="s">
        <v>1760</v>
      </c>
      <c r="C2185" s="293" t="s">
        <v>87</v>
      </c>
      <c r="D2185" s="461" t="s">
        <v>381</v>
      </c>
      <c r="E2185" s="357">
        <v>2</v>
      </c>
      <c r="F2185" s="295">
        <v>11.94</v>
      </c>
      <c r="G2185" s="312">
        <f>TRUNC(E2185*F2185,2)</f>
        <v>23.88</v>
      </c>
      <c r="H2185" s="122"/>
    </row>
    <row r="2186" spans="1:8" ht="14.1" customHeight="1">
      <c r="A2186" s="365" t="s">
        <v>1761</v>
      </c>
      <c r="B2186" s="356" t="s">
        <v>1764</v>
      </c>
      <c r="C2186" s="293" t="s">
        <v>87</v>
      </c>
      <c r="D2186" s="461" t="s">
        <v>381</v>
      </c>
      <c r="E2186" s="357">
        <v>1</v>
      </c>
      <c r="F2186" s="295">
        <v>1.54</v>
      </c>
      <c r="G2186" s="312">
        <f t="shared" ref="G2186:G2187" si="116">TRUNC(E2186*F2186,2)</f>
        <v>1.54</v>
      </c>
      <c r="H2186" s="122"/>
    </row>
    <row r="2187" spans="1:8" ht="20.399999999999999">
      <c r="A2187" s="365">
        <v>10420</v>
      </c>
      <c r="B2187" s="356" t="s">
        <v>1770</v>
      </c>
      <c r="C2187" s="293" t="s">
        <v>87</v>
      </c>
      <c r="D2187" s="461" t="s">
        <v>381</v>
      </c>
      <c r="E2187" s="357">
        <v>1</v>
      </c>
      <c r="F2187" s="349">
        <v>110</v>
      </c>
      <c r="G2187" s="312">
        <f t="shared" si="116"/>
        <v>110</v>
      </c>
      <c r="H2187" s="122"/>
    </row>
    <row r="2188" spans="1:8" ht="14.1" customHeight="1">
      <c r="A2188" s="365" t="s">
        <v>242</v>
      </c>
      <c r="B2188" s="356" t="s">
        <v>243</v>
      </c>
      <c r="C2188" s="293" t="s">
        <v>87</v>
      </c>
      <c r="D2188" s="461" t="s">
        <v>1319</v>
      </c>
      <c r="E2188" s="513">
        <v>0.1469</v>
      </c>
      <c r="F2188" s="349">
        <v>44.3</v>
      </c>
      <c r="G2188" s="312">
        <f>TRUNC(E2188*F2188,2)</f>
        <v>6.5</v>
      </c>
      <c r="H2188" s="122"/>
    </row>
    <row r="2189" spans="1:8" ht="14.1" customHeight="1">
      <c r="A2189" s="1141">
        <v>88316</v>
      </c>
      <c r="B2189" s="1129" t="s">
        <v>110</v>
      </c>
      <c r="C2189" s="293" t="s">
        <v>104</v>
      </c>
      <c r="D2189" s="1153" t="s">
        <v>383</v>
      </c>
      <c r="E2189" s="1165">
        <v>0.44</v>
      </c>
      <c r="F2189" s="349">
        <f>G104</f>
        <v>11.18</v>
      </c>
      <c r="G2189" s="358">
        <f>TRUNC(E2189*F2189,2)</f>
        <v>4.91</v>
      </c>
      <c r="H2189" s="122"/>
    </row>
    <row r="2190" spans="1:8" ht="14.1" customHeight="1">
      <c r="A2190" s="1142"/>
      <c r="B2190" s="1130"/>
      <c r="C2190" s="293" t="s">
        <v>87</v>
      </c>
      <c r="D2190" s="1154"/>
      <c r="E2190" s="1166"/>
      <c r="F2190" s="349">
        <f>G105</f>
        <v>4.7300000000000004</v>
      </c>
      <c r="G2190" s="312">
        <f>TRUNC(E2189*F2190,2)</f>
        <v>2.08</v>
      </c>
      <c r="H2190" s="122"/>
    </row>
    <row r="2191" spans="1:8" ht="14.1" customHeight="1">
      <c r="A2191" s="1141">
        <v>88267</v>
      </c>
      <c r="B2191" s="1129" t="s">
        <v>271</v>
      </c>
      <c r="C2191" s="293" t="s">
        <v>104</v>
      </c>
      <c r="D2191" s="1153" t="s">
        <v>383</v>
      </c>
      <c r="E2191" s="1165">
        <v>0.78</v>
      </c>
      <c r="F2191" s="298">
        <f>G338</f>
        <v>15.5</v>
      </c>
      <c r="G2191" s="312">
        <f>TRUNC(E2191*F2191,2)</f>
        <v>12.09</v>
      </c>
      <c r="H2191" s="122"/>
    </row>
    <row r="2192" spans="1:8" ht="14.1" customHeight="1">
      <c r="A2192" s="1142"/>
      <c r="B2192" s="1130"/>
      <c r="C2192" s="293" t="s">
        <v>87</v>
      </c>
      <c r="D2192" s="1154"/>
      <c r="E2192" s="1166"/>
      <c r="F2192" s="298">
        <f>G339</f>
        <v>4.4000000000000004</v>
      </c>
      <c r="G2192" s="312">
        <f t="shared" ref="G2192" si="117">TRUNC(E2191*F2192,2)</f>
        <v>3.43</v>
      </c>
      <c r="H2192" s="122"/>
    </row>
    <row r="2193" spans="1:8" ht="14.1" customHeight="1">
      <c r="C2193" s="124"/>
      <c r="D2193" s="320"/>
      <c r="E2193" s="359"/>
      <c r="F2193" s="360" t="s">
        <v>90</v>
      </c>
      <c r="G2193" s="322">
        <f>G2189+G2191</f>
        <v>17</v>
      </c>
      <c r="H2193" s="122"/>
    </row>
    <row r="2194" spans="1:8" ht="14.1" customHeight="1">
      <c r="C2194" s="124"/>
      <c r="D2194" s="300"/>
      <c r="E2194" s="361"/>
      <c r="F2194" s="301" t="s">
        <v>92</v>
      </c>
      <c r="G2194" s="312">
        <f>G2185+G2186+G2187+G2188+G2190+G2192</f>
        <v>147.43</v>
      </c>
      <c r="H2194" s="122"/>
    </row>
    <row r="2195" spans="1:8" ht="14.1" customHeight="1">
      <c r="C2195" s="124"/>
      <c r="D2195" s="300"/>
      <c r="E2195" s="361"/>
      <c r="F2195" s="301" t="s">
        <v>93</v>
      </c>
      <c r="G2195" s="313">
        <f>SUM(G2193:G2194)</f>
        <v>164.43</v>
      </c>
      <c r="H2195" s="394"/>
    </row>
    <row r="2196" spans="1:8">
      <c r="A2196" s="362"/>
      <c r="B2196" s="363"/>
      <c r="C2196" s="364"/>
      <c r="D2196" s="362"/>
      <c r="E2196" s="363"/>
      <c r="F2196" s="363"/>
      <c r="G2196" s="363"/>
      <c r="H2196" s="362"/>
    </row>
    <row r="2198" spans="1:8">
      <c r="A2198" s="122" t="s">
        <v>1194</v>
      </c>
      <c r="C2198" s="124"/>
      <c r="D2198" s="122"/>
      <c r="E2198" s="128"/>
      <c r="H2198" s="122"/>
    </row>
    <row r="2199" spans="1:8">
      <c r="A2199" s="148" t="s">
        <v>1936</v>
      </c>
      <c r="C2199" s="124"/>
      <c r="D2199" s="122"/>
      <c r="E2199" s="128"/>
      <c r="H2199" s="122"/>
    </row>
    <row r="2200" spans="1:8" ht="28.5" customHeight="1">
      <c r="A2200" s="352" t="s">
        <v>1450</v>
      </c>
      <c r="B2200" s="1161" t="s">
        <v>1935</v>
      </c>
      <c r="C2200" s="1161"/>
      <c r="D2200" s="1161"/>
      <c r="E2200" s="290" t="s">
        <v>1452</v>
      </c>
      <c r="G2200" s="353"/>
      <c r="H2200" s="122"/>
    </row>
    <row r="2201" spans="1:8" ht="26.25" customHeight="1">
      <c r="A2201" s="309" t="s">
        <v>30</v>
      </c>
      <c r="B2201" s="354" t="s">
        <v>19</v>
      </c>
      <c r="C2201" s="293" t="s">
        <v>81</v>
      </c>
      <c r="D2201" s="294" t="s">
        <v>77</v>
      </c>
      <c r="E2201" s="294" t="s">
        <v>82</v>
      </c>
      <c r="F2201" s="295" t="s">
        <v>83</v>
      </c>
      <c r="G2201" s="355" t="s">
        <v>84</v>
      </c>
      <c r="H2201" s="122"/>
    </row>
    <row r="2202" spans="1:8" ht="30.6">
      <c r="A2202" s="365" t="s">
        <v>1759</v>
      </c>
      <c r="B2202" s="356" t="s">
        <v>1760</v>
      </c>
      <c r="C2202" s="293" t="s">
        <v>87</v>
      </c>
      <c r="D2202" s="461" t="s">
        <v>381</v>
      </c>
      <c r="E2202" s="357">
        <v>2</v>
      </c>
      <c r="F2202" s="295">
        <v>11.94</v>
      </c>
      <c r="G2202" s="312">
        <f>TRUNC(E2202*F2202,2)</f>
        <v>23.88</v>
      </c>
      <c r="H2202" s="122"/>
    </row>
    <row r="2203" spans="1:8" ht="15" customHeight="1">
      <c r="A2203" s="365" t="s">
        <v>1761</v>
      </c>
      <c r="B2203" s="356" t="s">
        <v>1764</v>
      </c>
      <c r="C2203" s="293" t="s">
        <v>87</v>
      </c>
      <c r="D2203" s="461" t="s">
        <v>381</v>
      </c>
      <c r="E2203" s="357">
        <v>1</v>
      </c>
      <c r="F2203" s="295">
        <v>1.54</v>
      </c>
      <c r="G2203" s="312">
        <f t="shared" ref="G2203:G2204" si="118">TRUNC(E2203*F2203,2)</f>
        <v>1.54</v>
      </c>
      <c r="H2203" s="122"/>
    </row>
    <row r="2204" spans="1:8" ht="24.75" customHeight="1">
      <c r="A2204" s="365">
        <v>36520</v>
      </c>
      <c r="B2204" s="356" t="s">
        <v>1937</v>
      </c>
      <c r="C2204" s="293" t="s">
        <v>87</v>
      </c>
      <c r="D2204" s="461" t="s">
        <v>381</v>
      </c>
      <c r="E2204" s="357">
        <v>1</v>
      </c>
      <c r="F2204" s="349">
        <v>548.03</v>
      </c>
      <c r="G2204" s="312">
        <f t="shared" si="118"/>
        <v>548.03</v>
      </c>
      <c r="H2204" s="122"/>
    </row>
    <row r="2205" spans="1:8" ht="15" customHeight="1">
      <c r="A2205" s="365" t="s">
        <v>242</v>
      </c>
      <c r="B2205" s="356" t="s">
        <v>243</v>
      </c>
      <c r="C2205" s="293" t="s">
        <v>87</v>
      </c>
      <c r="D2205" s="461" t="s">
        <v>1319</v>
      </c>
      <c r="E2205" s="513">
        <v>0.1469</v>
      </c>
      <c r="F2205" s="349">
        <v>44.3</v>
      </c>
      <c r="G2205" s="312">
        <f>TRUNC(E2205*F2205,2)</f>
        <v>6.5</v>
      </c>
      <c r="H2205" s="122"/>
    </row>
    <row r="2206" spans="1:8" ht="15" customHeight="1">
      <c r="A2206" s="1141">
        <v>88316</v>
      </c>
      <c r="B2206" s="1129" t="s">
        <v>110</v>
      </c>
      <c r="C2206" s="293" t="s">
        <v>104</v>
      </c>
      <c r="D2206" s="1153" t="s">
        <v>383</v>
      </c>
      <c r="E2206" s="1165">
        <v>0.44</v>
      </c>
      <c r="F2206" s="349">
        <f>G104</f>
        <v>11.18</v>
      </c>
      <c r="G2206" s="358">
        <f>TRUNC(E2206*F2206,2)</f>
        <v>4.91</v>
      </c>
      <c r="H2206" s="122"/>
    </row>
    <row r="2207" spans="1:8" ht="15" customHeight="1">
      <c r="A2207" s="1142"/>
      <c r="B2207" s="1130"/>
      <c r="C2207" s="293" t="s">
        <v>87</v>
      </c>
      <c r="D2207" s="1154"/>
      <c r="E2207" s="1166"/>
      <c r="F2207" s="349">
        <f>G105</f>
        <v>4.7300000000000004</v>
      </c>
      <c r="G2207" s="312">
        <f>TRUNC(E2206*F2207,2)</f>
        <v>2.08</v>
      </c>
      <c r="H2207" s="122"/>
    </row>
    <row r="2208" spans="1:8" ht="15" customHeight="1">
      <c r="A2208" s="1141">
        <v>88267</v>
      </c>
      <c r="B2208" s="1129" t="s">
        <v>271</v>
      </c>
      <c r="C2208" s="293" t="s">
        <v>104</v>
      </c>
      <c r="D2208" s="1153" t="s">
        <v>383</v>
      </c>
      <c r="E2208" s="1165">
        <v>0.78</v>
      </c>
      <c r="F2208" s="298">
        <f>G338</f>
        <v>15.5</v>
      </c>
      <c r="G2208" s="312">
        <f>TRUNC(E2208*F2208,2)</f>
        <v>12.09</v>
      </c>
      <c r="H2208" s="122"/>
    </row>
    <row r="2209" spans="1:8" ht="15" customHeight="1">
      <c r="A2209" s="1142"/>
      <c r="B2209" s="1130"/>
      <c r="C2209" s="293" t="s">
        <v>87</v>
      </c>
      <c r="D2209" s="1154"/>
      <c r="E2209" s="1166"/>
      <c r="F2209" s="298">
        <f>G339</f>
        <v>4.4000000000000004</v>
      </c>
      <c r="G2209" s="312">
        <f t="shared" ref="G2209" si="119">TRUNC(E2208*F2209,2)</f>
        <v>3.43</v>
      </c>
      <c r="H2209" s="122"/>
    </row>
    <row r="2210" spans="1:8" ht="15" customHeight="1">
      <c r="C2210" s="124"/>
      <c r="D2210" s="320"/>
      <c r="E2210" s="359"/>
      <c r="F2210" s="360" t="s">
        <v>90</v>
      </c>
      <c r="G2210" s="322">
        <f>G2206+G2208</f>
        <v>17</v>
      </c>
      <c r="H2210" s="122"/>
    </row>
    <row r="2211" spans="1:8" ht="15" customHeight="1">
      <c r="C2211" s="124"/>
      <c r="D2211" s="300"/>
      <c r="E2211" s="361"/>
      <c r="F2211" s="301" t="s">
        <v>92</v>
      </c>
      <c r="G2211" s="312">
        <f>G2202+G2203+G2204+G2205+G2207+G2209</f>
        <v>585.45999999999992</v>
      </c>
      <c r="H2211" s="122"/>
    </row>
    <row r="2212" spans="1:8" ht="15" customHeight="1">
      <c r="C2212" s="124"/>
      <c r="D2212" s="300"/>
      <c r="E2212" s="361"/>
      <c r="F2212" s="301" t="s">
        <v>93</v>
      </c>
      <c r="G2212" s="313">
        <f>SUM(G2210:G2211)</f>
        <v>602.45999999999992</v>
      </c>
      <c r="H2212" s="394"/>
    </row>
    <row r="2213" spans="1:8">
      <c r="A2213" s="362"/>
      <c r="B2213" s="363"/>
      <c r="C2213" s="364"/>
      <c r="D2213" s="362"/>
      <c r="E2213" s="363"/>
      <c r="F2213" s="363"/>
      <c r="G2213" s="363"/>
      <c r="H2213" s="362"/>
    </row>
    <row r="2215" spans="1:8">
      <c r="A2215" s="122" t="s">
        <v>1194</v>
      </c>
      <c r="C2215" s="124"/>
      <c r="D2215" s="122"/>
      <c r="E2215" s="128"/>
      <c r="H2215" s="122"/>
    </row>
    <row r="2216" spans="1:8">
      <c r="A2216" s="148" t="s">
        <v>2337</v>
      </c>
      <c r="C2216" s="124"/>
      <c r="D2216" s="122"/>
      <c r="E2216" s="128"/>
      <c r="H2216" s="122"/>
    </row>
    <row r="2217" spans="1:8" ht="25.5" customHeight="1">
      <c r="A2217" s="352" t="s">
        <v>1450</v>
      </c>
      <c r="B2217" s="1161" t="s">
        <v>2338</v>
      </c>
      <c r="C2217" s="1161"/>
      <c r="D2217" s="1161"/>
      <c r="E2217" s="608" t="s">
        <v>1452</v>
      </c>
      <c r="G2217" s="353"/>
      <c r="H2217" s="122"/>
    </row>
    <row r="2218" spans="1:8" ht="24" customHeight="1">
      <c r="A2218" s="309" t="s">
        <v>30</v>
      </c>
      <c r="B2218" s="354" t="s">
        <v>19</v>
      </c>
      <c r="C2218" s="293" t="s">
        <v>81</v>
      </c>
      <c r="D2218" s="294" t="s">
        <v>77</v>
      </c>
      <c r="E2218" s="294" t="s">
        <v>82</v>
      </c>
      <c r="F2218" s="295" t="s">
        <v>83</v>
      </c>
      <c r="G2218" s="355" t="s">
        <v>84</v>
      </c>
      <c r="H2218" s="122"/>
    </row>
    <row r="2219" spans="1:8" ht="14.1" customHeight="1">
      <c r="A2219" s="365" t="s">
        <v>265</v>
      </c>
      <c r="B2219" s="356" t="s">
        <v>266</v>
      </c>
      <c r="C2219" s="293" t="s">
        <v>87</v>
      </c>
      <c r="D2219" s="461" t="s">
        <v>381</v>
      </c>
      <c r="E2219" s="357">
        <v>0.04</v>
      </c>
      <c r="F2219" s="295">
        <v>11.94</v>
      </c>
      <c r="G2219" s="312">
        <f>TRUNC(E2219*F2219,2)</f>
        <v>0.47</v>
      </c>
      <c r="H2219" s="122"/>
    </row>
    <row r="2220" spans="1:8" ht="20.399999999999999">
      <c r="A2220" s="365" t="s">
        <v>2339</v>
      </c>
      <c r="B2220" s="356" t="s">
        <v>2340</v>
      </c>
      <c r="C2220" s="293" t="s">
        <v>87</v>
      </c>
      <c r="D2220" s="461" t="s">
        <v>381</v>
      </c>
      <c r="E2220" s="357">
        <v>1</v>
      </c>
      <c r="F2220" s="295">
        <v>1.54</v>
      </c>
      <c r="G2220" s="312">
        <f t="shared" ref="G2220" si="120">TRUNC(E2220*F2220,2)</f>
        <v>1.54</v>
      </c>
      <c r="H2220" s="122"/>
    </row>
    <row r="2221" spans="1:8" ht="14.1" customHeight="1">
      <c r="A2221" s="1141">
        <v>88316</v>
      </c>
      <c r="B2221" s="1129" t="s">
        <v>110</v>
      </c>
      <c r="C2221" s="293" t="s">
        <v>104</v>
      </c>
      <c r="D2221" s="1153" t="s">
        <v>383</v>
      </c>
      <c r="E2221" s="1162">
        <v>0.05</v>
      </c>
      <c r="F2221" s="349">
        <f>G104</f>
        <v>11.18</v>
      </c>
      <c r="G2221" s="358">
        <f>TRUNC(E2221*F2221,2)</f>
        <v>0.55000000000000004</v>
      </c>
      <c r="H2221" s="122"/>
    </row>
    <row r="2222" spans="1:8" ht="14.1" customHeight="1">
      <c r="A2222" s="1142"/>
      <c r="B2222" s="1130"/>
      <c r="C2222" s="293" t="s">
        <v>87</v>
      </c>
      <c r="D2222" s="1154"/>
      <c r="E2222" s="1163"/>
      <c r="F2222" s="349">
        <f>G105</f>
        <v>4.7300000000000004</v>
      </c>
      <c r="G2222" s="312">
        <f>TRUNC(E2221*F2222,2)</f>
        <v>0.23</v>
      </c>
      <c r="H2222" s="122"/>
    </row>
    <row r="2223" spans="1:8" ht="14.1" customHeight="1">
      <c r="A2223" s="1141">
        <v>88267</v>
      </c>
      <c r="B2223" s="1129" t="s">
        <v>271</v>
      </c>
      <c r="C2223" s="293" t="s">
        <v>104</v>
      </c>
      <c r="D2223" s="1153" t="s">
        <v>383</v>
      </c>
      <c r="E2223" s="1162">
        <v>0.17</v>
      </c>
      <c r="F2223" s="298">
        <f>G338</f>
        <v>15.5</v>
      </c>
      <c r="G2223" s="312">
        <f>TRUNC(E2223*F2223,2)</f>
        <v>2.63</v>
      </c>
      <c r="H2223" s="122"/>
    </row>
    <row r="2224" spans="1:8" ht="14.1" customHeight="1">
      <c r="A2224" s="1142"/>
      <c r="B2224" s="1130"/>
      <c r="C2224" s="293" t="s">
        <v>87</v>
      </c>
      <c r="D2224" s="1154"/>
      <c r="E2224" s="1163"/>
      <c r="F2224" s="298">
        <f>G339</f>
        <v>4.4000000000000004</v>
      </c>
      <c r="G2224" s="312">
        <f t="shared" ref="G2224" si="121">TRUNC(E2223*F2224,2)</f>
        <v>0.74</v>
      </c>
      <c r="H2224" s="122"/>
    </row>
    <row r="2225" spans="1:8" ht="14.1" customHeight="1">
      <c r="C2225" s="124"/>
      <c r="D2225" s="320"/>
      <c r="E2225" s="359"/>
      <c r="F2225" s="360" t="s">
        <v>90</v>
      </c>
      <c r="G2225" s="322">
        <f>G2221+G2223</f>
        <v>3.1799999999999997</v>
      </c>
      <c r="H2225" s="122"/>
    </row>
    <row r="2226" spans="1:8" ht="14.1" customHeight="1">
      <c r="C2226" s="124"/>
      <c r="D2226" s="300"/>
      <c r="E2226" s="361"/>
      <c r="F2226" s="301" t="s">
        <v>92</v>
      </c>
      <c r="G2226" s="312">
        <f>G2219+G2220+G2222+G2224</f>
        <v>2.9799999999999995</v>
      </c>
      <c r="H2226" s="122"/>
    </row>
    <row r="2227" spans="1:8" ht="14.1" customHeight="1">
      <c r="C2227" s="124"/>
      <c r="D2227" s="300"/>
      <c r="E2227" s="361"/>
      <c r="F2227" s="301" t="s">
        <v>93</v>
      </c>
      <c r="G2227" s="313">
        <f>SUM(G2225:G2226)</f>
        <v>6.1599999999999993</v>
      </c>
      <c r="H2227" s="394"/>
    </row>
    <row r="2228" spans="1:8">
      <c r="A2228" s="362"/>
      <c r="B2228" s="363"/>
      <c r="C2228" s="364"/>
      <c r="D2228" s="362"/>
      <c r="E2228" s="363"/>
      <c r="F2228" s="363"/>
      <c r="G2228" s="363"/>
      <c r="H2228" s="362"/>
    </row>
    <row r="2230" spans="1:8">
      <c r="A2230" s="122" t="s">
        <v>1194</v>
      </c>
      <c r="C2230" s="124"/>
      <c r="D2230" s="122"/>
      <c r="E2230" s="128"/>
      <c r="H2230" s="122"/>
    </row>
    <row r="2231" spans="1:8">
      <c r="A2231" s="148" t="s">
        <v>2341</v>
      </c>
      <c r="C2231" s="124"/>
      <c r="D2231" s="122"/>
      <c r="E2231" s="128"/>
      <c r="H2231" s="122"/>
    </row>
    <row r="2232" spans="1:8" ht="15.75" customHeight="1">
      <c r="A2232" s="352" t="s">
        <v>1450</v>
      </c>
      <c r="B2232" s="1161" t="s">
        <v>2336</v>
      </c>
      <c r="C2232" s="1161"/>
      <c r="D2232" s="1161"/>
      <c r="E2232" s="494" t="s">
        <v>1452</v>
      </c>
      <c r="G2232" s="353"/>
      <c r="H2232" s="122"/>
    </row>
    <row r="2233" spans="1:8" ht="20.399999999999999">
      <c r="A2233" s="309" t="s">
        <v>30</v>
      </c>
      <c r="B2233" s="354" t="s">
        <v>19</v>
      </c>
      <c r="C2233" s="293" t="s">
        <v>81</v>
      </c>
      <c r="D2233" s="294" t="s">
        <v>77</v>
      </c>
      <c r="E2233" s="294" t="s">
        <v>82</v>
      </c>
      <c r="F2233" s="295" t="s">
        <v>83</v>
      </c>
      <c r="G2233" s="355" t="s">
        <v>84</v>
      </c>
      <c r="H2233" s="122"/>
    </row>
    <row r="2234" spans="1:8" ht="15" customHeight="1">
      <c r="A2234" s="365" t="s">
        <v>265</v>
      </c>
      <c r="B2234" s="356" t="s">
        <v>266</v>
      </c>
      <c r="C2234" s="293" t="s">
        <v>87</v>
      </c>
      <c r="D2234" s="461" t="s">
        <v>381</v>
      </c>
      <c r="E2234" s="357">
        <v>0.05</v>
      </c>
      <c r="F2234" s="295">
        <v>11.94</v>
      </c>
      <c r="G2234" s="312">
        <f>TRUNC(E2234*F2234,2)</f>
        <v>0.59</v>
      </c>
      <c r="H2234" s="122"/>
    </row>
    <row r="2235" spans="1:8" ht="20.399999999999999">
      <c r="A2235" s="365" t="s">
        <v>2342</v>
      </c>
      <c r="B2235" s="356" t="s">
        <v>2343</v>
      </c>
      <c r="C2235" s="293" t="s">
        <v>87</v>
      </c>
      <c r="D2235" s="461" t="s">
        <v>381</v>
      </c>
      <c r="E2235" s="357">
        <v>1</v>
      </c>
      <c r="F2235" s="295">
        <v>6.42</v>
      </c>
      <c r="G2235" s="312">
        <f t="shared" ref="G2235" si="122">TRUNC(E2235*F2235,2)</f>
        <v>6.42</v>
      </c>
      <c r="H2235" s="122"/>
    </row>
    <row r="2236" spans="1:8" ht="15" customHeight="1">
      <c r="A2236" s="1141">
        <v>88316</v>
      </c>
      <c r="B2236" s="1129" t="s">
        <v>110</v>
      </c>
      <c r="C2236" s="293" t="s">
        <v>104</v>
      </c>
      <c r="D2236" s="1153" t="s">
        <v>383</v>
      </c>
      <c r="E2236" s="1162">
        <v>0.03</v>
      </c>
      <c r="F2236" s="349">
        <f>G104</f>
        <v>11.18</v>
      </c>
      <c r="G2236" s="358">
        <f>TRUNC(E2236*F2236,2)</f>
        <v>0.33</v>
      </c>
      <c r="H2236" s="122"/>
    </row>
    <row r="2237" spans="1:8" ht="15" customHeight="1">
      <c r="A2237" s="1142"/>
      <c r="B2237" s="1130"/>
      <c r="C2237" s="293" t="s">
        <v>87</v>
      </c>
      <c r="D2237" s="1154"/>
      <c r="E2237" s="1163"/>
      <c r="F2237" s="349">
        <f>G105</f>
        <v>4.7300000000000004</v>
      </c>
      <c r="G2237" s="312">
        <f>TRUNC(E2236*F2237,2)</f>
        <v>0.14000000000000001</v>
      </c>
      <c r="H2237" s="122"/>
    </row>
    <row r="2238" spans="1:8" ht="15" customHeight="1">
      <c r="A2238" s="1141">
        <v>88267</v>
      </c>
      <c r="B2238" s="1129" t="s">
        <v>271</v>
      </c>
      <c r="C2238" s="293" t="s">
        <v>104</v>
      </c>
      <c r="D2238" s="1153" t="s">
        <v>383</v>
      </c>
      <c r="E2238" s="1162">
        <v>0.08</v>
      </c>
      <c r="F2238" s="298">
        <f>G338</f>
        <v>15.5</v>
      </c>
      <c r="G2238" s="312">
        <f>TRUNC(E2238*F2238,2)</f>
        <v>1.24</v>
      </c>
      <c r="H2238" s="122"/>
    </row>
    <row r="2239" spans="1:8" ht="15" customHeight="1">
      <c r="A2239" s="1142"/>
      <c r="B2239" s="1130"/>
      <c r="C2239" s="293" t="s">
        <v>87</v>
      </c>
      <c r="D2239" s="1154"/>
      <c r="E2239" s="1163"/>
      <c r="F2239" s="298">
        <f>G339</f>
        <v>4.4000000000000004</v>
      </c>
      <c r="G2239" s="312">
        <f t="shared" ref="G2239" si="123">TRUNC(E2238*F2239,2)</f>
        <v>0.35</v>
      </c>
      <c r="H2239" s="122"/>
    </row>
    <row r="2240" spans="1:8" ht="15" customHeight="1">
      <c r="C2240" s="124"/>
      <c r="D2240" s="320"/>
      <c r="E2240" s="359"/>
      <c r="F2240" s="360" t="s">
        <v>90</v>
      </c>
      <c r="G2240" s="322">
        <f>G2236+G2238</f>
        <v>1.57</v>
      </c>
      <c r="H2240" s="122"/>
    </row>
    <row r="2241" spans="1:10" ht="15" customHeight="1">
      <c r="C2241" s="124"/>
      <c r="D2241" s="300"/>
      <c r="E2241" s="361"/>
      <c r="F2241" s="301" t="s">
        <v>92</v>
      </c>
      <c r="G2241" s="312">
        <f>G2234+G2235+G2237+G2239</f>
        <v>7.4999999999999991</v>
      </c>
      <c r="H2241" s="122"/>
    </row>
    <row r="2242" spans="1:10" ht="15" customHeight="1">
      <c r="C2242" s="124"/>
      <c r="D2242" s="300"/>
      <c r="E2242" s="361"/>
      <c r="F2242" s="301" t="s">
        <v>93</v>
      </c>
      <c r="G2242" s="313">
        <f>SUM(G2240:G2241)</f>
        <v>9.0699999999999985</v>
      </c>
      <c r="H2242" s="394"/>
    </row>
    <row r="2243" spans="1:10">
      <c r="A2243" s="362"/>
      <c r="B2243" s="363"/>
      <c r="C2243" s="364"/>
      <c r="D2243" s="362"/>
      <c r="E2243" s="363"/>
      <c r="F2243" s="363"/>
      <c r="G2243" s="363"/>
      <c r="H2243" s="362"/>
    </row>
    <row r="2245" spans="1:10">
      <c r="A2245" s="122" t="s">
        <v>2709</v>
      </c>
      <c r="C2245" s="124"/>
      <c r="D2245" s="122"/>
      <c r="E2245" s="128"/>
      <c r="H2245" s="122"/>
    </row>
    <row r="2246" spans="1:10">
      <c r="A2246" s="148" t="s">
        <v>2462</v>
      </c>
      <c r="C2246" s="124"/>
      <c r="D2246" s="122"/>
      <c r="E2246" s="128"/>
      <c r="H2246" s="122"/>
    </row>
    <row r="2247" spans="1:10" ht="24.75" customHeight="1">
      <c r="A2247" s="352" t="s">
        <v>1450</v>
      </c>
      <c r="B2247" s="1161" t="s">
        <v>2358</v>
      </c>
      <c r="C2247" s="1161"/>
      <c r="D2247" s="1161"/>
      <c r="E2247" s="494" t="s">
        <v>1452</v>
      </c>
      <c r="G2247" s="353"/>
      <c r="H2247" s="122"/>
    </row>
    <row r="2248" spans="1:10" ht="20.399999999999999">
      <c r="A2248" s="309" t="s">
        <v>30</v>
      </c>
      <c r="B2248" s="354" t="s">
        <v>19</v>
      </c>
      <c r="C2248" s="293" t="s">
        <v>81</v>
      </c>
      <c r="D2248" s="294" t="s">
        <v>77</v>
      </c>
      <c r="E2248" s="294" t="s">
        <v>82</v>
      </c>
      <c r="F2248" s="295" t="s">
        <v>83</v>
      </c>
      <c r="G2248" s="355" t="s">
        <v>84</v>
      </c>
      <c r="H2248" s="122"/>
    </row>
    <row r="2249" spans="1:10" ht="15" customHeight="1">
      <c r="A2249" s="365">
        <v>4823</v>
      </c>
      <c r="B2249" s="356" t="s">
        <v>246</v>
      </c>
      <c r="C2249" s="293" t="s">
        <v>87</v>
      </c>
      <c r="D2249" s="461" t="s">
        <v>381</v>
      </c>
      <c r="E2249" s="513">
        <v>0.52710000000000001</v>
      </c>
      <c r="F2249" s="835">
        <v>37.57</v>
      </c>
      <c r="G2249" s="312">
        <f>TRUNC(E2249*F2249,2)</f>
        <v>19.8</v>
      </c>
      <c r="H2249" s="122"/>
      <c r="J2249" s="122" t="s">
        <v>2360</v>
      </c>
    </row>
    <row r="2250" spans="1:10" ht="20.399999999999999">
      <c r="A2250" s="365" t="s">
        <v>79</v>
      </c>
      <c r="B2250" s="356" t="s">
        <v>2359</v>
      </c>
      <c r="C2250" s="293" t="s">
        <v>87</v>
      </c>
      <c r="D2250" s="461" t="s">
        <v>381</v>
      </c>
      <c r="E2250" s="357">
        <v>1</v>
      </c>
      <c r="F2250" s="349">
        <v>599.9</v>
      </c>
      <c r="G2250" s="312">
        <f t="shared" ref="G2250" si="124">TRUNC(E2250*F2250,2)</f>
        <v>599.9</v>
      </c>
      <c r="H2250" s="122"/>
    </row>
    <row r="2251" spans="1:10" ht="15" customHeight="1">
      <c r="A2251" s="1141">
        <v>88316</v>
      </c>
      <c r="B2251" s="1129" t="s">
        <v>110</v>
      </c>
      <c r="C2251" s="293" t="s">
        <v>104</v>
      </c>
      <c r="D2251" s="1153" t="s">
        <v>383</v>
      </c>
      <c r="E2251" s="1162">
        <v>0.03</v>
      </c>
      <c r="F2251" s="837">
        <f>G104</f>
        <v>11.18</v>
      </c>
      <c r="G2251" s="358">
        <f>TRUNC(E2251*F2251,2)</f>
        <v>0.33</v>
      </c>
      <c r="H2251" s="122"/>
    </row>
    <row r="2252" spans="1:10" ht="15" customHeight="1">
      <c r="A2252" s="1142"/>
      <c r="B2252" s="1130"/>
      <c r="C2252" s="293" t="s">
        <v>87</v>
      </c>
      <c r="D2252" s="1154"/>
      <c r="E2252" s="1163"/>
      <c r="F2252" s="837">
        <f>G105</f>
        <v>4.7300000000000004</v>
      </c>
      <c r="G2252" s="312">
        <f>TRUNC(E2251*F2252,2)</f>
        <v>0.14000000000000001</v>
      </c>
      <c r="H2252" s="122"/>
    </row>
    <row r="2253" spans="1:10" ht="15" customHeight="1">
      <c r="A2253" s="1141">
        <v>88267</v>
      </c>
      <c r="B2253" s="1129" t="s">
        <v>271</v>
      </c>
      <c r="C2253" s="293" t="s">
        <v>104</v>
      </c>
      <c r="D2253" s="1153" t="s">
        <v>383</v>
      </c>
      <c r="E2253" s="1162">
        <v>0.08</v>
      </c>
      <c r="F2253" s="825">
        <f>G338</f>
        <v>15.5</v>
      </c>
      <c r="G2253" s="312">
        <f>TRUNC(E2253*F2253,2)</f>
        <v>1.24</v>
      </c>
      <c r="H2253" s="122"/>
    </row>
    <row r="2254" spans="1:10" ht="15" customHeight="1">
      <c r="A2254" s="1142"/>
      <c r="B2254" s="1130"/>
      <c r="C2254" s="293" t="s">
        <v>87</v>
      </c>
      <c r="D2254" s="1154"/>
      <c r="E2254" s="1163"/>
      <c r="F2254" s="825">
        <f>G339</f>
        <v>4.4000000000000004</v>
      </c>
      <c r="G2254" s="312">
        <f t="shared" ref="G2254" si="125">TRUNC(E2253*F2254,2)</f>
        <v>0.35</v>
      </c>
      <c r="H2254" s="122"/>
    </row>
    <row r="2255" spans="1:10" ht="15" customHeight="1">
      <c r="C2255" s="124"/>
      <c r="D2255" s="320"/>
      <c r="E2255" s="359"/>
      <c r="F2255" s="360" t="s">
        <v>90</v>
      </c>
      <c r="G2255" s="322">
        <f>G2251+G2253</f>
        <v>1.57</v>
      </c>
      <c r="H2255" s="122"/>
    </row>
    <row r="2256" spans="1:10" ht="15" customHeight="1">
      <c r="C2256" s="124"/>
      <c r="D2256" s="300"/>
      <c r="E2256" s="361"/>
      <c r="F2256" s="301" t="s">
        <v>92</v>
      </c>
      <c r="G2256" s="312">
        <f>G2249+G2250+G2252+G2254</f>
        <v>620.18999999999994</v>
      </c>
      <c r="H2256" s="122"/>
    </row>
    <row r="2257" spans="1:8" ht="15" customHeight="1">
      <c r="C2257" s="124"/>
      <c r="D2257" s="300"/>
      <c r="E2257" s="361"/>
      <c r="F2257" s="301" t="s">
        <v>93</v>
      </c>
      <c r="G2257" s="820">
        <f>SUM(G2255:G2256)</f>
        <v>621.76</v>
      </c>
      <c r="H2257" s="394"/>
    </row>
    <row r="2258" spans="1:8">
      <c r="A2258" s="362"/>
      <c r="B2258" s="363"/>
      <c r="C2258" s="364"/>
      <c r="D2258" s="362"/>
      <c r="E2258" s="363"/>
      <c r="F2258" s="363"/>
      <c r="G2258" s="363"/>
      <c r="H2258" s="362"/>
    </row>
    <row r="2260" spans="1:8">
      <c r="A2260" s="826" t="s">
        <v>2709</v>
      </c>
    </row>
    <row r="2261" spans="1:8">
      <c r="A2261" s="122" t="s">
        <v>1195</v>
      </c>
      <c r="B2261" s="148" t="s">
        <v>2715</v>
      </c>
      <c r="C2261" s="123"/>
    </row>
    <row r="2262" spans="1:8" ht="45.75" customHeight="1">
      <c r="A2262" s="122" t="s">
        <v>76</v>
      </c>
      <c r="B2262" s="1161" t="s">
        <v>2716</v>
      </c>
      <c r="C2262" s="1161"/>
      <c r="D2262" s="1161"/>
      <c r="E2262" s="150" t="s">
        <v>1256</v>
      </c>
      <c r="F2262" s="289"/>
      <c r="G2262" s="289"/>
    </row>
    <row r="2263" spans="1:8" ht="20.399999999999999">
      <c r="A2263" s="291" t="s">
        <v>30</v>
      </c>
      <c r="B2263" s="292" t="s">
        <v>19</v>
      </c>
      <c r="C2263" s="293" t="s">
        <v>81</v>
      </c>
      <c r="D2263" s="293" t="s">
        <v>77</v>
      </c>
      <c r="E2263" s="780" t="s">
        <v>82</v>
      </c>
      <c r="F2263" s="295" t="s">
        <v>83</v>
      </c>
      <c r="G2263" s="296" t="s">
        <v>84</v>
      </c>
    </row>
    <row r="2264" spans="1:8" ht="15" customHeight="1">
      <c r="A2264" s="1240">
        <v>88294</v>
      </c>
      <c r="B2264" s="1173" t="s">
        <v>2717</v>
      </c>
      <c r="C2264" s="296" t="s">
        <v>104</v>
      </c>
      <c r="D2264" s="1189" t="s">
        <v>383</v>
      </c>
      <c r="E2264" s="1285">
        <v>1</v>
      </c>
      <c r="F2264" s="831">
        <f>G1640</f>
        <v>9.86</v>
      </c>
      <c r="G2264" s="296">
        <f t="shared" ref="G2264" si="126">TRUNC(E2264*F2264,2)</f>
        <v>9.86</v>
      </c>
    </row>
    <row r="2265" spans="1:8" ht="15" customHeight="1">
      <c r="A2265" s="1284"/>
      <c r="B2265" s="1174"/>
      <c r="C2265" s="296" t="s">
        <v>87</v>
      </c>
      <c r="D2265" s="1190"/>
      <c r="E2265" s="1286"/>
      <c r="F2265" s="831">
        <f>G1641</f>
        <v>0</v>
      </c>
      <c r="G2265" s="296">
        <f>TRUNC(E2264*F2265,2)</f>
        <v>0</v>
      </c>
    </row>
    <row r="2266" spans="1:8" ht="73.5" customHeight="1">
      <c r="A2266" s="818">
        <v>88857</v>
      </c>
      <c r="B2266" s="817" t="s">
        <v>2718</v>
      </c>
      <c r="C2266" s="780" t="s">
        <v>1260</v>
      </c>
      <c r="D2266" s="293" t="s">
        <v>383</v>
      </c>
      <c r="E2266" s="789">
        <v>1</v>
      </c>
      <c r="F2266" s="828">
        <v>14.22</v>
      </c>
      <c r="G2266" s="312">
        <f t="shared" ref="G2266:G2269" si="127">TRUNC(E2266*F2266,2)</f>
        <v>14.22</v>
      </c>
    </row>
    <row r="2267" spans="1:8" ht="53.25" customHeight="1">
      <c r="A2267" s="818">
        <v>88858</v>
      </c>
      <c r="B2267" s="817" t="s">
        <v>2719</v>
      </c>
      <c r="C2267" s="780" t="s">
        <v>1260</v>
      </c>
      <c r="D2267" s="293" t="s">
        <v>383</v>
      </c>
      <c r="E2267" s="789">
        <v>1</v>
      </c>
      <c r="F2267" s="825">
        <v>1.93</v>
      </c>
      <c r="G2267" s="312">
        <f t="shared" si="127"/>
        <v>1.93</v>
      </c>
    </row>
    <row r="2268" spans="1:8" ht="68.25" customHeight="1">
      <c r="A2268" s="818" t="s">
        <v>2721</v>
      </c>
      <c r="B2268" s="817" t="s">
        <v>2720</v>
      </c>
      <c r="C2268" s="780" t="s">
        <v>1260</v>
      </c>
      <c r="D2268" s="293" t="s">
        <v>383</v>
      </c>
      <c r="E2268" s="789">
        <v>1</v>
      </c>
      <c r="F2268" s="825">
        <v>17.78</v>
      </c>
      <c r="G2268" s="312">
        <f t="shared" si="127"/>
        <v>17.78</v>
      </c>
    </row>
    <row r="2269" spans="1:8" ht="65.25" customHeight="1">
      <c r="A2269" s="818">
        <v>53786</v>
      </c>
      <c r="B2269" s="817" t="s">
        <v>2722</v>
      </c>
      <c r="C2269" s="780" t="s">
        <v>1260</v>
      </c>
      <c r="D2269" s="293" t="s">
        <v>383</v>
      </c>
      <c r="E2269" s="789">
        <v>1</v>
      </c>
      <c r="F2269" s="825">
        <v>29.07</v>
      </c>
      <c r="G2269" s="312">
        <f t="shared" si="127"/>
        <v>29.07</v>
      </c>
    </row>
    <row r="2270" spans="1:8" ht="14.1" customHeight="1">
      <c r="D2270" s="299"/>
      <c r="E2270" s="300"/>
      <c r="F2270" s="301" t="s">
        <v>90</v>
      </c>
      <c r="G2270" s="296">
        <f>G2264</f>
        <v>9.86</v>
      </c>
    </row>
    <row r="2271" spans="1:8" ht="14.1" customHeight="1">
      <c r="D2271" s="299"/>
      <c r="E2271" s="300"/>
      <c r="F2271" s="301" t="s">
        <v>92</v>
      </c>
      <c r="G2271" s="296">
        <f>SUM(G2265:G2269)</f>
        <v>63.000000000000007</v>
      </c>
    </row>
    <row r="2272" spans="1:8" ht="14.1" customHeight="1">
      <c r="A2272" s="302"/>
      <c r="D2272" s="299"/>
      <c r="E2272" s="300"/>
      <c r="F2272" s="301" t="s">
        <v>93</v>
      </c>
      <c r="G2272" s="820">
        <f>SUM(G2270:G2271)</f>
        <v>72.860000000000014</v>
      </c>
      <c r="H2272" s="304"/>
    </row>
    <row r="2273" spans="1:9">
      <c r="A2273" s="305"/>
      <c r="B2273" s="306"/>
      <c r="C2273" s="307"/>
      <c r="D2273" s="308"/>
      <c r="E2273" s="305"/>
      <c r="F2273" s="306"/>
      <c r="G2273" s="306"/>
      <c r="H2273" s="306"/>
      <c r="I2273" s="305"/>
    </row>
  </sheetData>
  <mergeCells count="605">
    <mergeCell ref="E1879:E1880"/>
    <mergeCell ref="B1838:B1839"/>
    <mergeCell ref="D1838:D1839"/>
    <mergeCell ref="E1838:E1839"/>
    <mergeCell ref="B1847:D1847"/>
    <mergeCell ref="A1850:A1851"/>
    <mergeCell ref="B1850:B1851"/>
    <mergeCell ref="D1850:D1851"/>
    <mergeCell ref="E1850:E1851"/>
    <mergeCell ref="A1852:A1853"/>
    <mergeCell ref="B1852:B1853"/>
    <mergeCell ref="D1852:D1853"/>
    <mergeCell ref="E1852:E1853"/>
    <mergeCell ref="B1875:D1875"/>
    <mergeCell ref="A1879:A1880"/>
    <mergeCell ref="B1879:B1880"/>
    <mergeCell ref="D1879:D1880"/>
    <mergeCell ref="B1861:D1861"/>
    <mergeCell ref="B1864:B1865"/>
    <mergeCell ref="D1864:D1865"/>
    <mergeCell ref="E1864:E1865"/>
    <mergeCell ref="B1866:B1867"/>
    <mergeCell ref="D1866:D1867"/>
    <mergeCell ref="E1866:E1867"/>
    <mergeCell ref="B504:D504"/>
    <mergeCell ref="B760:C760"/>
    <mergeCell ref="B777:C777"/>
    <mergeCell ref="B294:D294"/>
    <mergeCell ref="B514:D514"/>
    <mergeCell ref="B524:D524"/>
    <mergeCell ref="B379:C379"/>
    <mergeCell ref="A1190:A1191"/>
    <mergeCell ref="B1190:B1191"/>
    <mergeCell ref="D1190:D1191"/>
    <mergeCell ref="B690:D690"/>
    <mergeCell ref="B701:D701"/>
    <mergeCell ref="B712:D712"/>
    <mergeCell ref="B1040:D1040"/>
    <mergeCell ref="B970:C970"/>
    <mergeCell ref="B987:C987"/>
    <mergeCell ref="B396:C396"/>
    <mergeCell ref="B534:D534"/>
    <mergeCell ref="A921:A922"/>
    <mergeCell ref="B921:B922"/>
    <mergeCell ref="D921:D922"/>
    <mergeCell ref="B743:C743"/>
    <mergeCell ref="B787:C787"/>
    <mergeCell ref="B817:C817"/>
    <mergeCell ref="E1190:E1191"/>
    <mergeCell ref="A1192:A1193"/>
    <mergeCell ref="B1192:B1193"/>
    <mergeCell ref="D1192:D1193"/>
    <mergeCell ref="E1192:E1193"/>
    <mergeCell ref="B878:D878"/>
    <mergeCell ref="A883:A884"/>
    <mergeCell ref="B883:B884"/>
    <mergeCell ref="D883:D884"/>
    <mergeCell ref="E883:E884"/>
    <mergeCell ref="A885:A886"/>
    <mergeCell ref="B885:B886"/>
    <mergeCell ref="D885:D886"/>
    <mergeCell ref="E885:E886"/>
    <mergeCell ref="E919:E920"/>
    <mergeCell ref="B1071:D1071"/>
    <mergeCell ref="A1073:A1074"/>
    <mergeCell ref="B1073:B1074"/>
    <mergeCell ref="D1073:D1074"/>
    <mergeCell ref="B932:C932"/>
    <mergeCell ref="B997:C997"/>
    <mergeCell ref="B1007:D1007"/>
    <mergeCell ref="B1020:D1020"/>
    <mergeCell ref="B959:C959"/>
    <mergeCell ref="A2191:A2192"/>
    <mergeCell ref="B2191:B2192"/>
    <mergeCell ref="D2191:D2192"/>
    <mergeCell ref="E2191:E2192"/>
    <mergeCell ref="A2174:A2175"/>
    <mergeCell ref="B2174:B2175"/>
    <mergeCell ref="D2174:D2175"/>
    <mergeCell ref="E2174:E2175"/>
    <mergeCell ref="A2155:A2156"/>
    <mergeCell ref="B2155:B2156"/>
    <mergeCell ref="D2155:D2156"/>
    <mergeCell ref="E2155:E2156"/>
    <mergeCell ref="A2157:A2158"/>
    <mergeCell ref="B2157:B2158"/>
    <mergeCell ref="D2157:D2158"/>
    <mergeCell ref="E2157:E2158"/>
    <mergeCell ref="A2172:A2173"/>
    <mergeCell ref="B2172:B2173"/>
    <mergeCell ref="D2172:D2173"/>
    <mergeCell ref="E2172:E2173"/>
    <mergeCell ref="A2189:A2190"/>
    <mergeCell ref="B2189:B2190"/>
    <mergeCell ref="D2189:D2190"/>
    <mergeCell ref="E2189:E2190"/>
    <mergeCell ref="B1936:D1936"/>
    <mergeCell ref="B2071:D2071"/>
    <mergeCell ref="E1994:E1995"/>
    <mergeCell ref="E1953:E1954"/>
    <mergeCell ref="B1980:B1981"/>
    <mergeCell ref="D1980:D1981"/>
    <mergeCell ref="E1980:E1981"/>
    <mergeCell ref="B1881:B1882"/>
    <mergeCell ref="D1881:D1882"/>
    <mergeCell ref="E1881:E1882"/>
    <mergeCell ref="B1949:D1949"/>
    <mergeCell ref="B2031:D2031"/>
    <mergeCell ref="B2036:B2037"/>
    <mergeCell ref="D2036:D2037"/>
    <mergeCell ref="E2036:E2037"/>
    <mergeCell ref="B2045:D2045"/>
    <mergeCell ref="B2034:B2035"/>
    <mergeCell ref="D2034:D2035"/>
    <mergeCell ref="E2062:E2063"/>
    <mergeCell ref="E1606:E1607"/>
    <mergeCell ref="A1608:A1609"/>
    <mergeCell ref="B1608:B1609"/>
    <mergeCell ref="D1608:D1609"/>
    <mergeCell ref="E1608:E1609"/>
    <mergeCell ref="B1508:D1508"/>
    <mergeCell ref="B1630:D1630"/>
    <mergeCell ref="B1645:D1645"/>
    <mergeCell ref="B1789:D1789"/>
    <mergeCell ref="B1581:C1581"/>
    <mergeCell ref="B1571:D1571"/>
    <mergeCell ref="E1749:E1750"/>
    <mergeCell ref="B1619:B1620"/>
    <mergeCell ref="D1619:D1620"/>
    <mergeCell ref="E1619:E1620"/>
    <mergeCell ref="A1621:A1622"/>
    <mergeCell ref="B1621:B1622"/>
    <mergeCell ref="D1621:D1622"/>
    <mergeCell ref="E1621:E1622"/>
    <mergeCell ref="A1636:A1637"/>
    <mergeCell ref="B1636:B1637"/>
    <mergeCell ref="D1636:D1637"/>
    <mergeCell ref="E1636:E1637"/>
    <mergeCell ref="B1647:B1648"/>
    <mergeCell ref="B1361:B1362"/>
    <mergeCell ref="A1619:A1620"/>
    <mergeCell ref="A1881:A1882"/>
    <mergeCell ref="A1864:A1865"/>
    <mergeCell ref="A1866:A1867"/>
    <mergeCell ref="A1749:A1750"/>
    <mergeCell ref="B1749:B1750"/>
    <mergeCell ref="D1749:D1750"/>
    <mergeCell ref="B1604:D1604"/>
    <mergeCell ref="A1606:A1607"/>
    <mergeCell ref="B1606:B1607"/>
    <mergeCell ref="D1606:D1607"/>
    <mergeCell ref="B1376:B1377"/>
    <mergeCell ref="D1376:D1377"/>
    <mergeCell ref="B1760:D1760"/>
    <mergeCell ref="A1764:A1765"/>
    <mergeCell ref="B1764:B1765"/>
    <mergeCell ref="D1764:D1765"/>
    <mergeCell ref="A1780:A1781"/>
    <mergeCell ref="B1780:B1781"/>
    <mergeCell ref="D1780:D1781"/>
    <mergeCell ref="E1073:E1074"/>
    <mergeCell ref="B1086:D1086"/>
    <mergeCell ref="B1050:D1050"/>
    <mergeCell ref="B1060:D1060"/>
    <mergeCell ref="E921:E922"/>
    <mergeCell ref="B837:C837"/>
    <mergeCell ref="B847:D847"/>
    <mergeCell ref="A849:A850"/>
    <mergeCell ref="B849:B850"/>
    <mergeCell ref="B1030:D1030"/>
    <mergeCell ref="A1164:A1165"/>
    <mergeCell ref="E1164:E1165"/>
    <mergeCell ref="A1176:A1177"/>
    <mergeCell ref="E1176:E1177"/>
    <mergeCell ref="A1128:A1129"/>
    <mergeCell ref="B1128:B1129"/>
    <mergeCell ref="D1128:D1129"/>
    <mergeCell ref="E1128:E1129"/>
    <mergeCell ref="A1162:A1163"/>
    <mergeCell ref="B1162:B1163"/>
    <mergeCell ref="D1162:D1163"/>
    <mergeCell ref="E1162:E1163"/>
    <mergeCell ref="B727:C727"/>
    <mergeCell ref="B797:C797"/>
    <mergeCell ref="B807:C807"/>
    <mergeCell ref="B827:C827"/>
    <mergeCell ref="B1164:B1165"/>
    <mergeCell ref="D1164:D1165"/>
    <mergeCell ref="B1176:B1177"/>
    <mergeCell ref="D1176:D1177"/>
    <mergeCell ref="B1096:D1096"/>
    <mergeCell ref="B1106:D1106"/>
    <mergeCell ref="B1116:D1116"/>
    <mergeCell ref="B1126:D1126"/>
    <mergeCell ref="B948:C948"/>
    <mergeCell ref="B111:C111"/>
    <mergeCell ref="B126:C126"/>
    <mergeCell ref="B141:C141"/>
    <mergeCell ref="A1994:A1995"/>
    <mergeCell ref="B1994:B1995"/>
    <mergeCell ref="D1994:D1995"/>
    <mergeCell ref="A1953:A1954"/>
    <mergeCell ref="B1953:B1954"/>
    <mergeCell ref="D1953:D1954"/>
    <mergeCell ref="B1989:D1989"/>
    <mergeCell ref="A1992:A1993"/>
    <mergeCell ref="B158:D158"/>
    <mergeCell ref="B175:D175"/>
    <mergeCell ref="B192:D192"/>
    <mergeCell ref="B226:D226"/>
    <mergeCell ref="B243:D243"/>
    <mergeCell ref="B277:D277"/>
    <mergeCell ref="B914:D914"/>
    <mergeCell ref="B1442:C1442"/>
    <mergeCell ref="B1249:D1249"/>
    <mergeCell ref="A1510:A1511"/>
    <mergeCell ref="B1510:B1511"/>
    <mergeCell ref="B1269:D1269"/>
    <mergeCell ref="B1279:D1279"/>
    <mergeCell ref="A1178:A1179"/>
    <mergeCell ref="B1178:B1179"/>
    <mergeCell ref="D1178:D1179"/>
    <mergeCell ref="E1178:E1179"/>
    <mergeCell ref="B1215:D1215"/>
    <mergeCell ref="B1239:D1239"/>
    <mergeCell ref="E1429:E1430"/>
    <mergeCell ref="A1204:A1205"/>
    <mergeCell ref="E1204:E1205"/>
    <mergeCell ref="A1206:A1207"/>
    <mergeCell ref="E1206:E1207"/>
    <mergeCell ref="B1290:D1290"/>
    <mergeCell ref="B1303:D1303"/>
    <mergeCell ref="B1313:D1313"/>
    <mergeCell ref="B1323:D1323"/>
    <mergeCell ref="B1333:D1333"/>
    <mergeCell ref="A1350:A1351"/>
    <mergeCell ref="E1350:E1351"/>
    <mergeCell ref="B1359:D1359"/>
    <mergeCell ref="A1361:A1362"/>
    <mergeCell ref="B1204:B1205"/>
    <mergeCell ref="D1204:D1205"/>
    <mergeCell ref="B1206:B1207"/>
    <mergeCell ref="D1206:D1207"/>
    <mergeCell ref="B5:C5"/>
    <mergeCell ref="B860:D860"/>
    <mergeCell ref="A865:A866"/>
    <mergeCell ref="B865:B866"/>
    <mergeCell ref="D865:D866"/>
    <mergeCell ref="E865:E866"/>
    <mergeCell ref="A867:A868"/>
    <mergeCell ref="B867:B868"/>
    <mergeCell ref="D867:D868"/>
    <mergeCell ref="E867:E868"/>
    <mergeCell ref="B345:C345"/>
    <mergeCell ref="A714:A715"/>
    <mergeCell ref="B714:B715"/>
    <mergeCell ref="D714:D715"/>
    <mergeCell ref="B664:D664"/>
    <mergeCell ref="A666:A667"/>
    <mergeCell ref="B666:B667"/>
    <mergeCell ref="B311:D311"/>
    <mergeCell ref="B328:D328"/>
    <mergeCell ref="B584:C584"/>
    <mergeCell ref="D666:D667"/>
    <mergeCell ref="E666:E667"/>
    <mergeCell ref="B43:D43"/>
    <mergeCell ref="B77:C77"/>
    <mergeCell ref="B679:D679"/>
    <mergeCell ref="E714:E715"/>
    <mergeCell ref="A1632:A1633"/>
    <mergeCell ref="B1632:B1633"/>
    <mergeCell ref="D1632:D1633"/>
    <mergeCell ref="E1632:E1633"/>
    <mergeCell ref="A1634:A1635"/>
    <mergeCell ref="B1634:B1635"/>
    <mergeCell ref="D1634:D1635"/>
    <mergeCell ref="E1634:E1635"/>
    <mergeCell ref="D849:D850"/>
    <mergeCell ref="E849:E850"/>
    <mergeCell ref="A919:A920"/>
    <mergeCell ref="B919:B920"/>
    <mergeCell ref="D919:D920"/>
    <mergeCell ref="B896:D896"/>
    <mergeCell ref="A901:A902"/>
    <mergeCell ref="B901:B902"/>
    <mergeCell ref="D901:D902"/>
    <mergeCell ref="E901:E902"/>
    <mergeCell ref="A903:A904"/>
    <mergeCell ref="B903:B904"/>
    <mergeCell ref="D903:D904"/>
    <mergeCell ref="E903:E904"/>
    <mergeCell ref="E1764:E1765"/>
    <mergeCell ref="B1658:D1658"/>
    <mergeCell ref="A1660:A1661"/>
    <mergeCell ref="B1660:B1661"/>
    <mergeCell ref="D1660:D1661"/>
    <mergeCell ref="E1660:E1661"/>
    <mergeCell ref="B1678:B1679"/>
    <mergeCell ref="A1678:A1679"/>
    <mergeCell ref="B1674:C1674"/>
    <mergeCell ref="D1678:D1679"/>
    <mergeCell ref="E1678:E1679"/>
    <mergeCell ref="B1688:C1688"/>
    <mergeCell ref="B1745:C1745"/>
    <mergeCell ref="A1747:A1748"/>
    <mergeCell ref="B1747:B1748"/>
    <mergeCell ref="D1747:D1748"/>
    <mergeCell ref="E1747:E1748"/>
    <mergeCell ref="B1719:C1719"/>
    <mergeCell ref="B1730:C1730"/>
    <mergeCell ref="A1732:A1733"/>
    <mergeCell ref="B1732:B1733"/>
    <mergeCell ref="D1732:D1733"/>
    <mergeCell ref="E1732:E1733"/>
    <mergeCell ref="A1734:A1735"/>
    <mergeCell ref="E1780:E1781"/>
    <mergeCell ref="A1766:A1767"/>
    <mergeCell ref="B1766:B1767"/>
    <mergeCell ref="D1766:D1767"/>
    <mergeCell ref="E1766:E1767"/>
    <mergeCell ref="B1775:D1775"/>
    <mergeCell ref="A1778:A1779"/>
    <mergeCell ref="B1778:B1779"/>
    <mergeCell ref="D1778:D1779"/>
    <mergeCell ref="E1778:E1779"/>
    <mergeCell ref="A1793:A1794"/>
    <mergeCell ref="B1793:B1794"/>
    <mergeCell ref="D1793:D1794"/>
    <mergeCell ref="E1793:E1794"/>
    <mergeCell ref="A1795:A1796"/>
    <mergeCell ref="B1795:B1796"/>
    <mergeCell ref="D1795:D1796"/>
    <mergeCell ref="E1795:E1796"/>
    <mergeCell ref="B1804:D1804"/>
    <mergeCell ref="A1808:A1809"/>
    <mergeCell ref="B1808:B1809"/>
    <mergeCell ref="D1808:D1809"/>
    <mergeCell ref="E1808:E1809"/>
    <mergeCell ref="A1810:A1811"/>
    <mergeCell ref="B1810:B1811"/>
    <mergeCell ref="D1810:D1811"/>
    <mergeCell ref="E1810:E1811"/>
    <mergeCell ref="B1890:D1890"/>
    <mergeCell ref="B1819:D1819"/>
    <mergeCell ref="A1822:A1823"/>
    <mergeCell ref="B1822:B1823"/>
    <mergeCell ref="D1822:D1823"/>
    <mergeCell ref="E1822:E1823"/>
    <mergeCell ref="A1824:A1825"/>
    <mergeCell ref="B1824:B1825"/>
    <mergeCell ref="D1824:D1825"/>
    <mergeCell ref="E1824:E1825"/>
    <mergeCell ref="B1833:D1833"/>
    <mergeCell ref="A1836:A1837"/>
    <mergeCell ref="B1836:B1837"/>
    <mergeCell ref="D1836:D1837"/>
    <mergeCell ref="E1836:E1837"/>
    <mergeCell ref="A1838:A1839"/>
    <mergeCell ref="A1893:A1894"/>
    <mergeCell ref="B1893:B1894"/>
    <mergeCell ref="D1893:D1894"/>
    <mergeCell ref="E1893:E1894"/>
    <mergeCell ref="A1895:A1896"/>
    <mergeCell ref="B1895:B1896"/>
    <mergeCell ref="D1895:D1896"/>
    <mergeCell ref="E1895:E1896"/>
    <mergeCell ref="B1920:D1920"/>
    <mergeCell ref="B1904:D1904"/>
    <mergeCell ref="A1908:A1909"/>
    <mergeCell ref="B1908:B1909"/>
    <mergeCell ref="D1908:D1909"/>
    <mergeCell ref="E1908:E1909"/>
    <mergeCell ref="A1910:A1911"/>
    <mergeCell ref="B1910:B1911"/>
    <mergeCell ref="D1910:D1911"/>
    <mergeCell ref="E1910:E1911"/>
    <mergeCell ref="A1923:A1924"/>
    <mergeCell ref="B1923:B1924"/>
    <mergeCell ref="D1923:D1924"/>
    <mergeCell ref="E1923:E1924"/>
    <mergeCell ref="A1925:A1926"/>
    <mergeCell ref="B1925:B1926"/>
    <mergeCell ref="D1925:D1926"/>
    <mergeCell ref="E1925:E1926"/>
    <mergeCell ref="A1927:A1928"/>
    <mergeCell ref="B1927:B1928"/>
    <mergeCell ref="D1927:D1928"/>
    <mergeCell ref="E1927:E1928"/>
    <mergeCell ref="A1938:A1939"/>
    <mergeCell ref="B1938:B1939"/>
    <mergeCell ref="D1938:D1939"/>
    <mergeCell ref="E1938:E1939"/>
    <mergeCell ref="A1940:A1941"/>
    <mergeCell ref="B1940:B1941"/>
    <mergeCell ref="D1940:D1941"/>
    <mergeCell ref="E1940:E1941"/>
    <mergeCell ref="B2003:D2003"/>
    <mergeCell ref="B1962:D1962"/>
    <mergeCell ref="A1965:A1966"/>
    <mergeCell ref="B1965:B1966"/>
    <mergeCell ref="D1965:D1966"/>
    <mergeCell ref="E1965:E1966"/>
    <mergeCell ref="A1967:A1968"/>
    <mergeCell ref="B1967:B1968"/>
    <mergeCell ref="D1967:D1968"/>
    <mergeCell ref="E1967:E1968"/>
    <mergeCell ref="B1976:D1976"/>
    <mergeCell ref="A1978:A1979"/>
    <mergeCell ref="B1978:B1979"/>
    <mergeCell ref="D1978:D1979"/>
    <mergeCell ref="E1978:E1979"/>
    <mergeCell ref="A1980:A1981"/>
    <mergeCell ref="A2019:A2020"/>
    <mergeCell ref="B2019:B2020"/>
    <mergeCell ref="D2019:D2020"/>
    <mergeCell ref="E2019:E2020"/>
    <mergeCell ref="A2006:A2007"/>
    <mergeCell ref="B2006:B2007"/>
    <mergeCell ref="D2006:D2007"/>
    <mergeCell ref="E2006:E2007"/>
    <mergeCell ref="E1992:E1993"/>
    <mergeCell ref="A2008:A2009"/>
    <mergeCell ref="B2008:B2009"/>
    <mergeCell ref="D2008:D2009"/>
    <mergeCell ref="E2008:E2009"/>
    <mergeCell ref="B2017:D2017"/>
    <mergeCell ref="A2021:A2022"/>
    <mergeCell ref="B2021:B2022"/>
    <mergeCell ref="D2021:D2022"/>
    <mergeCell ref="E2021:E2022"/>
    <mergeCell ref="E2034:E2035"/>
    <mergeCell ref="E2089:E2090"/>
    <mergeCell ref="B2091:B2092"/>
    <mergeCell ref="D2091:D2092"/>
    <mergeCell ref="E2091:E2092"/>
    <mergeCell ref="A2089:A2090"/>
    <mergeCell ref="A2091:A2092"/>
    <mergeCell ref="B2074:B2075"/>
    <mergeCell ref="D2074:D2075"/>
    <mergeCell ref="E2074:E2075"/>
    <mergeCell ref="B2076:B2077"/>
    <mergeCell ref="D2076:D2077"/>
    <mergeCell ref="E2076:E2077"/>
    <mergeCell ref="A2060:A2061"/>
    <mergeCell ref="B2060:B2061"/>
    <mergeCell ref="D2060:D2061"/>
    <mergeCell ref="E2060:E2061"/>
    <mergeCell ref="A2062:A2063"/>
    <mergeCell ref="B2062:B2063"/>
    <mergeCell ref="D2062:D2063"/>
    <mergeCell ref="A2047:A2048"/>
    <mergeCell ref="B2047:B2048"/>
    <mergeCell ref="D2047:D2048"/>
    <mergeCell ref="E2047:E2048"/>
    <mergeCell ref="B2049:B2050"/>
    <mergeCell ref="A2049:A2050"/>
    <mergeCell ref="D2049:D2050"/>
    <mergeCell ref="E2049:E2050"/>
    <mergeCell ref="E2123:E2124"/>
    <mergeCell ref="A2125:A2126"/>
    <mergeCell ref="B2125:B2126"/>
    <mergeCell ref="D2125:D2126"/>
    <mergeCell ref="E2125:E2126"/>
    <mergeCell ref="B2100:D2100"/>
    <mergeCell ref="A2106:A2107"/>
    <mergeCell ref="B2106:B2107"/>
    <mergeCell ref="D2106:D2107"/>
    <mergeCell ref="E2106:E2107"/>
    <mergeCell ref="A2108:A2109"/>
    <mergeCell ref="B2108:B2109"/>
    <mergeCell ref="D2108:D2109"/>
    <mergeCell ref="E2108:E2109"/>
    <mergeCell ref="B2117:D2117"/>
    <mergeCell ref="A2123:A2124"/>
    <mergeCell ref="B2123:B2124"/>
    <mergeCell ref="D2123:D2124"/>
    <mergeCell ref="A2206:A2207"/>
    <mergeCell ref="B2206:B2207"/>
    <mergeCell ref="D2206:D2207"/>
    <mergeCell ref="E2206:E2207"/>
    <mergeCell ref="A2208:A2209"/>
    <mergeCell ref="B2208:B2209"/>
    <mergeCell ref="D2208:D2209"/>
    <mergeCell ref="E2208:E2209"/>
    <mergeCell ref="B2200:D2200"/>
    <mergeCell ref="B2134:D2134"/>
    <mergeCell ref="A2140:A2141"/>
    <mergeCell ref="B2140:B2141"/>
    <mergeCell ref="D2140:D2141"/>
    <mergeCell ref="E2140:E2141"/>
    <mergeCell ref="A2142:A2143"/>
    <mergeCell ref="B2142:B2143"/>
    <mergeCell ref="D2142:D2143"/>
    <mergeCell ref="E2142:E2143"/>
    <mergeCell ref="B60:C60"/>
    <mergeCell ref="B554:D554"/>
    <mergeCell ref="B2247:D2247"/>
    <mergeCell ref="A2251:A2252"/>
    <mergeCell ref="B2251:B2252"/>
    <mergeCell ref="D2251:D2252"/>
    <mergeCell ref="B2217:D2217"/>
    <mergeCell ref="A2221:A2222"/>
    <mergeCell ref="B2221:B2222"/>
    <mergeCell ref="D2221:D2222"/>
    <mergeCell ref="A1593:A1594"/>
    <mergeCell ref="B1593:B1594"/>
    <mergeCell ref="D1593:D1594"/>
    <mergeCell ref="B2085:D2085"/>
    <mergeCell ref="B2089:B2090"/>
    <mergeCell ref="D2089:D2090"/>
    <mergeCell ref="B2058:D2058"/>
    <mergeCell ref="B1992:B1993"/>
    <mergeCell ref="D1992:D1993"/>
    <mergeCell ref="B2232:D2232"/>
    <mergeCell ref="A2236:A2237"/>
    <mergeCell ref="B2236:B2237"/>
    <mergeCell ref="D2236:D2237"/>
    <mergeCell ref="A2238:A2239"/>
    <mergeCell ref="B2262:D2262"/>
    <mergeCell ref="A2264:A2265"/>
    <mergeCell ref="B2264:B2265"/>
    <mergeCell ref="D2264:D2265"/>
    <mergeCell ref="E2264:E2265"/>
    <mergeCell ref="B1427:C1427"/>
    <mergeCell ref="B1478:C1478"/>
    <mergeCell ref="B1468:C1468"/>
    <mergeCell ref="B1488:C1488"/>
    <mergeCell ref="B1498:C1498"/>
    <mergeCell ref="E2251:E2252"/>
    <mergeCell ref="A2253:A2254"/>
    <mergeCell ref="B2253:B2254"/>
    <mergeCell ref="D2253:D2254"/>
    <mergeCell ref="E2253:E2254"/>
    <mergeCell ref="E2236:E2237"/>
    <mergeCell ref="B2238:B2239"/>
    <mergeCell ref="D2238:D2239"/>
    <mergeCell ref="E2238:E2239"/>
    <mergeCell ref="E2221:E2222"/>
    <mergeCell ref="A2223:A2224"/>
    <mergeCell ref="B2223:B2224"/>
    <mergeCell ref="D2223:D2224"/>
    <mergeCell ref="E2223:E2224"/>
    <mergeCell ref="B464:D464"/>
    <mergeCell ref="A466:A467"/>
    <mergeCell ref="B466:B467"/>
    <mergeCell ref="D466:D467"/>
    <mergeCell ref="E466:E467"/>
    <mergeCell ref="B491:D491"/>
    <mergeCell ref="A493:A494"/>
    <mergeCell ref="B493:B494"/>
    <mergeCell ref="D493:D494"/>
    <mergeCell ref="E493:E494"/>
    <mergeCell ref="B480:D480"/>
    <mergeCell ref="A482:A483"/>
    <mergeCell ref="B482:B483"/>
    <mergeCell ref="D482:D483"/>
    <mergeCell ref="E482:E483"/>
    <mergeCell ref="B1228:D1228"/>
    <mergeCell ref="B1703:C1703"/>
    <mergeCell ref="A1705:A1706"/>
    <mergeCell ref="B1705:B1706"/>
    <mergeCell ref="D1705:D1706"/>
    <mergeCell ref="E1705:E1706"/>
    <mergeCell ref="E1595:E1596"/>
    <mergeCell ref="B1591:C1591"/>
    <mergeCell ref="A1647:A1648"/>
    <mergeCell ref="D1647:D1648"/>
    <mergeCell ref="E1647:E1648"/>
    <mergeCell ref="B1350:B1351"/>
    <mergeCell ref="D1350:D1351"/>
    <mergeCell ref="E1593:E1594"/>
    <mergeCell ref="A1595:A1596"/>
    <mergeCell ref="B1595:B1596"/>
    <mergeCell ref="D1595:D1596"/>
    <mergeCell ref="E1376:E1377"/>
    <mergeCell ref="D1510:D1511"/>
    <mergeCell ref="E1510:E1511"/>
    <mergeCell ref="E1348:E1349"/>
    <mergeCell ref="D1346:D1347"/>
    <mergeCell ref="D1361:D1362"/>
    <mergeCell ref="E1361:E1362"/>
    <mergeCell ref="B1259:D1259"/>
    <mergeCell ref="B1343:C1343"/>
    <mergeCell ref="A1346:A1347"/>
    <mergeCell ref="A1348:A1349"/>
    <mergeCell ref="B1374:D1374"/>
    <mergeCell ref="A1376:A1377"/>
    <mergeCell ref="B1734:B1735"/>
    <mergeCell ref="D1734:D1735"/>
    <mergeCell ref="E1734:E1735"/>
    <mergeCell ref="B1690:B1691"/>
    <mergeCell ref="A1690:A1691"/>
    <mergeCell ref="D1690:D1691"/>
    <mergeCell ref="E1690:E1691"/>
    <mergeCell ref="B1346:B1347"/>
    <mergeCell ref="B1348:B1349"/>
    <mergeCell ref="B1387:D1387"/>
    <mergeCell ref="B1397:D1397"/>
    <mergeCell ref="B1407:D1407"/>
    <mergeCell ref="B1417:D1417"/>
    <mergeCell ref="E1346:E1347"/>
    <mergeCell ref="D1348:D1349"/>
    <mergeCell ref="A1429:A1430"/>
    <mergeCell ref="B1429:B1430"/>
    <mergeCell ref="D1429:D1430"/>
  </mergeCells>
  <printOptions horizontalCentered="1"/>
  <pageMargins left="0.19685039370078741" right="0.19685039370078741" top="0.78740157480314965" bottom="0.19685039370078741" header="0" footer="0"/>
  <pageSetup paperSize="9" scale="88" orientation="portrait" horizontalDpi="300" verticalDpi="300" r:id="rId1"/>
  <headerFooter alignWithMargins="0"/>
  <rowBreaks count="1" manualBreakCount="1">
    <brk id="1613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S66"/>
  <sheetViews>
    <sheetView showGridLines="0" zoomScaleNormal="100" zoomScaleSheetLayoutView="90" workbookViewId="0">
      <selection activeCell="G60" sqref="G60"/>
    </sheetView>
  </sheetViews>
  <sheetFormatPr defaultColWidth="11.44140625" defaultRowHeight="13.8"/>
  <cols>
    <col min="1" max="1" width="10.109375" style="81" customWidth="1"/>
    <col min="2" max="2" width="18.5546875" style="81" customWidth="1"/>
    <col min="3" max="3" width="33.88671875" style="18" customWidth="1"/>
    <col min="4" max="4" width="7.88671875" style="17" customWidth="1"/>
    <col min="5" max="5" width="8.88671875" style="17" customWidth="1"/>
    <col min="6" max="6" width="8.109375" style="82" customWidth="1"/>
    <col min="7" max="7" width="9.44140625" style="82" customWidth="1"/>
    <col min="8" max="8" width="10.109375" style="82" customWidth="1"/>
    <col min="9" max="9" width="10.88671875" style="82" customWidth="1"/>
    <col min="10" max="11" width="7.88671875" style="82" customWidth="1"/>
    <col min="12" max="12" width="8.5546875" style="82" customWidth="1"/>
    <col min="13" max="13" width="11" style="82" customWidth="1"/>
    <col min="14" max="15" width="15.5546875" style="82" customWidth="1"/>
    <col min="16" max="16" width="6.44140625" style="18" customWidth="1"/>
    <col min="17" max="17" width="9.44140625" style="15" customWidth="1"/>
    <col min="18" max="18" width="12.109375" style="16" customWidth="1"/>
    <col min="19" max="19" width="13" style="17" customWidth="1"/>
    <col min="20" max="16384" width="11.44140625" style="18"/>
  </cols>
  <sheetData>
    <row r="1" spans="1:19" s="1" customFormat="1" ht="46.5" customHeight="1">
      <c r="A1" s="2" t="s">
        <v>2121</v>
      </c>
      <c r="B1" s="3"/>
      <c r="C1" s="4"/>
      <c r="D1" s="20"/>
      <c r="E1" s="4"/>
      <c r="F1" s="4"/>
      <c r="G1" s="4"/>
      <c r="H1" s="21"/>
      <c r="I1" s="21"/>
      <c r="J1" s="5" t="s">
        <v>2120</v>
      </c>
      <c r="K1" s="6"/>
      <c r="L1" s="6"/>
      <c r="M1" s="6"/>
      <c r="N1" s="6"/>
      <c r="O1" s="7"/>
    </row>
    <row r="2" spans="1:19" ht="3" customHeight="1">
      <c r="A2" s="22"/>
      <c r="B2" s="23"/>
      <c r="C2" s="14"/>
      <c r="D2" s="14"/>
      <c r="E2" s="14"/>
      <c r="F2" s="14"/>
      <c r="G2" s="14"/>
      <c r="H2" s="14"/>
      <c r="I2" s="14"/>
      <c r="J2" s="24"/>
      <c r="K2" s="25"/>
      <c r="L2" s="25"/>
      <c r="M2" s="14"/>
      <c r="N2" s="14"/>
      <c r="O2" s="14"/>
      <c r="P2" s="26"/>
    </row>
    <row r="3" spans="1:19" ht="18" customHeight="1">
      <c r="A3" s="1291" t="s">
        <v>31</v>
      </c>
      <c r="B3" s="1292"/>
      <c r="C3" s="1292"/>
      <c r="D3" s="1292"/>
      <c r="E3" s="1292"/>
      <c r="F3" s="1292"/>
      <c r="G3" s="1292"/>
      <c r="H3" s="1292"/>
      <c r="I3" s="1292"/>
      <c r="J3" s="1293"/>
      <c r="K3" s="1304" t="s">
        <v>36</v>
      </c>
      <c r="L3" s="1305"/>
      <c r="M3" s="12" t="s">
        <v>37</v>
      </c>
      <c r="N3" s="27"/>
      <c r="O3" s="28">
        <v>7.5</v>
      </c>
      <c r="Q3" s="16"/>
      <c r="R3" s="17"/>
      <c r="S3" s="18"/>
    </row>
    <row r="4" spans="1:19" ht="18" customHeight="1">
      <c r="A4" s="1294" t="s">
        <v>78</v>
      </c>
      <c r="B4" s="1295"/>
      <c r="C4" s="1295"/>
      <c r="D4" s="1295"/>
      <c r="E4" s="1295"/>
      <c r="F4" s="1295"/>
      <c r="G4" s="1295"/>
      <c r="H4" s="1295"/>
      <c r="I4" s="1295"/>
      <c r="J4" s="1296"/>
      <c r="K4" s="1306"/>
      <c r="L4" s="1307"/>
      <c r="M4" s="29" t="s">
        <v>38</v>
      </c>
      <c r="N4" s="30"/>
      <c r="O4" s="31">
        <v>15</v>
      </c>
      <c r="Q4" s="16"/>
      <c r="R4" s="17"/>
      <c r="S4" s="18"/>
    </row>
    <row r="5" spans="1:19" s="8" customFormat="1" ht="15" customHeight="1">
      <c r="A5" s="32" t="s">
        <v>32</v>
      </c>
      <c r="B5" s="32" t="s">
        <v>33</v>
      </c>
      <c r="C5" s="33" t="s">
        <v>34</v>
      </c>
      <c r="D5" s="34" t="s">
        <v>39</v>
      </c>
      <c r="E5" s="35"/>
      <c r="F5" s="529" t="s">
        <v>37</v>
      </c>
      <c r="G5" s="530"/>
      <c r="H5" s="530"/>
      <c r="I5" s="530"/>
      <c r="J5" s="529" t="s">
        <v>38</v>
      </c>
      <c r="K5" s="530"/>
      <c r="L5" s="530"/>
      <c r="M5" s="530"/>
      <c r="N5" s="531"/>
      <c r="O5" s="1308" t="s">
        <v>40</v>
      </c>
      <c r="R5" s="9"/>
      <c r="S5" s="10"/>
    </row>
    <row r="6" spans="1:19" s="8" customFormat="1" ht="15" customHeight="1">
      <c r="A6" s="32"/>
      <c r="B6" s="32"/>
      <c r="C6" s="33"/>
      <c r="D6" s="1300" t="s">
        <v>41</v>
      </c>
      <c r="E6" s="1302" t="s">
        <v>42</v>
      </c>
      <c r="F6" s="532" t="s">
        <v>43</v>
      </c>
      <c r="G6" s="533"/>
      <c r="H6" s="534" t="s">
        <v>44</v>
      </c>
      <c r="I6" s="535"/>
      <c r="J6" s="1309" t="s">
        <v>45</v>
      </c>
      <c r="K6" s="532" t="s">
        <v>43</v>
      </c>
      <c r="L6" s="533"/>
      <c r="M6" s="534" t="s">
        <v>44</v>
      </c>
      <c r="N6" s="535"/>
      <c r="O6" s="1298"/>
      <c r="R6" s="9"/>
      <c r="S6" s="10"/>
    </row>
    <row r="7" spans="1:19" s="8" customFormat="1" ht="15" customHeight="1">
      <c r="A7" s="42"/>
      <c r="B7" s="42"/>
      <c r="C7" s="43"/>
      <c r="D7" s="1301"/>
      <c r="E7" s="1303"/>
      <c r="F7" s="526" t="s">
        <v>46</v>
      </c>
      <c r="G7" s="526" t="s">
        <v>47</v>
      </c>
      <c r="H7" s="527" t="s">
        <v>48</v>
      </c>
      <c r="I7" s="528" t="s">
        <v>49</v>
      </c>
      <c r="J7" s="1299"/>
      <c r="K7" s="526" t="s">
        <v>46</v>
      </c>
      <c r="L7" s="526" t="s">
        <v>47</v>
      </c>
      <c r="M7" s="527" t="s">
        <v>48</v>
      </c>
      <c r="N7" s="528" t="s">
        <v>49</v>
      </c>
      <c r="O7" s="1299"/>
      <c r="R7" s="9"/>
      <c r="S7" s="10"/>
    </row>
    <row r="8" spans="1:19" ht="3" customHeight="1">
      <c r="A8" s="22"/>
      <c r="B8" s="23"/>
      <c r="C8" s="14"/>
      <c r="D8" s="14"/>
      <c r="E8" s="14"/>
      <c r="F8" s="14"/>
      <c r="G8" s="14"/>
      <c r="H8" s="14"/>
      <c r="I8" s="14"/>
      <c r="J8" s="24"/>
      <c r="K8" s="25"/>
      <c r="L8" s="25"/>
      <c r="M8" s="14"/>
      <c r="N8" s="14"/>
      <c r="O8" s="14"/>
      <c r="P8" s="26"/>
    </row>
    <row r="9" spans="1:19" s="8" customFormat="1" ht="15.6">
      <c r="A9" s="738" t="s">
        <v>6</v>
      </c>
      <c r="B9" s="739"/>
      <c r="C9" s="740" t="s">
        <v>50</v>
      </c>
      <c r="D9" s="741"/>
      <c r="E9" s="741"/>
      <c r="F9" s="742"/>
      <c r="G9" s="742"/>
      <c r="H9" s="742"/>
      <c r="I9" s="743"/>
      <c r="J9" s="743"/>
      <c r="K9" s="743"/>
      <c r="L9" s="743"/>
      <c r="M9" s="743"/>
      <c r="N9" s="743"/>
      <c r="O9" s="744"/>
      <c r="R9" s="9"/>
      <c r="S9" s="10"/>
    </row>
    <row r="10" spans="1:19" s="8" customFormat="1" ht="15" customHeight="1">
      <c r="A10" s="731" t="s">
        <v>20</v>
      </c>
      <c r="B10" s="731"/>
      <c r="C10" s="732" t="s">
        <v>51</v>
      </c>
      <c r="D10" s="733"/>
      <c r="E10" s="734"/>
      <c r="F10" s="735"/>
      <c r="G10" s="735"/>
      <c r="H10" s="736"/>
      <c r="I10" s="737"/>
      <c r="J10" s="735"/>
      <c r="K10" s="737"/>
      <c r="L10" s="737"/>
      <c r="M10" s="737"/>
      <c r="N10" s="737"/>
      <c r="O10" s="737"/>
      <c r="R10" s="9"/>
      <c r="S10" s="10"/>
    </row>
    <row r="11" spans="1:19" s="8" customFormat="1" ht="15" customHeight="1">
      <c r="A11" s="11" t="s">
        <v>2557</v>
      </c>
      <c r="B11" s="45" t="s">
        <v>56</v>
      </c>
      <c r="C11" s="46" t="s">
        <v>57</v>
      </c>
      <c r="D11" s="47">
        <v>1</v>
      </c>
      <c r="E11" s="48">
        <v>4</v>
      </c>
      <c r="F11" s="45">
        <v>30</v>
      </c>
      <c r="G11" s="44">
        <f t="shared" ref="G11:G18" si="0">F11*D11*J11</f>
        <v>30</v>
      </c>
      <c r="H11" s="49">
        <f t="shared" ref="H11:H18" si="1">G11*O$3</f>
        <v>225</v>
      </c>
      <c r="I11" s="49">
        <f t="shared" ref="I11:I18" si="2">E11*H11</f>
        <v>900</v>
      </c>
      <c r="J11" s="44">
        <v>1</v>
      </c>
      <c r="K11" s="45">
        <v>30</v>
      </c>
      <c r="L11" s="45">
        <f t="shared" ref="L11:L18" si="3">D11*J11*K11</f>
        <v>30</v>
      </c>
      <c r="M11" s="50">
        <f t="shared" ref="M11:M18" si="4">L11*O$4</f>
        <v>450</v>
      </c>
      <c r="N11" s="49">
        <f t="shared" ref="N11:N18" si="5">E11*M11</f>
        <v>1800</v>
      </c>
      <c r="O11" s="49">
        <f t="shared" ref="O11:O18" si="6">I11+N11</f>
        <v>2700</v>
      </c>
      <c r="R11" s="9"/>
      <c r="S11" s="10"/>
    </row>
    <row r="12" spans="1:19" s="8" customFormat="1" ht="15" customHeight="1">
      <c r="A12" s="11" t="s">
        <v>2558</v>
      </c>
      <c r="B12" s="45" t="s">
        <v>58</v>
      </c>
      <c r="C12" s="46" t="s">
        <v>59</v>
      </c>
      <c r="D12" s="47">
        <v>4</v>
      </c>
      <c r="E12" s="48">
        <v>4</v>
      </c>
      <c r="F12" s="45">
        <v>30</v>
      </c>
      <c r="G12" s="44">
        <f t="shared" si="0"/>
        <v>120</v>
      </c>
      <c r="H12" s="49">
        <f t="shared" si="1"/>
        <v>900</v>
      </c>
      <c r="I12" s="49">
        <f t="shared" si="2"/>
        <v>3600</v>
      </c>
      <c r="J12" s="44">
        <v>1</v>
      </c>
      <c r="K12" s="45">
        <v>30</v>
      </c>
      <c r="L12" s="45">
        <f t="shared" si="3"/>
        <v>120</v>
      </c>
      <c r="M12" s="50">
        <f t="shared" si="4"/>
        <v>1800</v>
      </c>
      <c r="N12" s="49">
        <f t="shared" si="5"/>
        <v>7200</v>
      </c>
      <c r="O12" s="49">
        <f t="shared" si="6"/>
        <v>10800</v>
      </c>
      <c r="R12" s="9"/>
      <c r="S12" s="10"/>
    </row>
    <row r="13" spans="1:19" s="8" customFormat="1" ht="15" customHeight="1">
      <c r="A13" s="11" t="s">
        <v>2559</v>
      </c>
      <c r="B13" s="45" t="s">
        <v>60</v>
      </c>
      <c r="C13" s="46" t="s">
        <v>142</v>
      </c>
      <c r="D13" s="47">
        <v>2</v>
      </c>
      <c r="E13" s="48">
        <v>4</v>
      </c>
      <c r="F13" s="45">
        <v>30</v>
      </c>
      <c r="G13" s="44">
        <f t="shared" si="0"/>
        <v>60</v>
      </c>
      <c r="H13" s="49">
        <f t="shared" si="1"/>
        <v>450</v>
      </c>
      <c r="I13" s="49">
        <f t="shared" si="2"/>
        <v>1800</v>
      </c>
      <c r="J13" s="44">
        <v>1</v>
      </c>
      <c r="K13" s="45">
        <v>30</v>
      </c>
      <c r="L13" s="45">
        <f t="shared" si="3"/>
        <v>60</v>
      </c>
      <c r="M13" s="50">
        <f t="shared" si="4"/>
        <v>900</v>
      </c>
      <c r="N13" s="49">
        <f t="shared" si="5"/>
        <v>3600</v>
      </c>
      <c r="O13" s="49">
        <f t="shared" si="6"/>
        <v>5400</v>
      </c>
      <c r="R13" s="9"/>
      <c r="S13" s="10"/>
    </row>
    <row r="14" spans="1:19" s="8" customFormat="1" ht="15" customHeight="1">
      <c r="A14" s="11" t="s">
        <v>2560</v>
      </c>
      <c r="B14" s="45" t="s">
        <v>61</v>
      </c>
      <c r="C14" s="46" t="s">
        <v>143</v>
      </c>
      <c r="D14" s="47">
        <v>1</v>
      </c>
      <c r="E14" s="48">
        <v>1</v>
      </c>
      <c r="F14" s="45">
        <v>30</v>
      </c>
      <c r="G14" s="44">
        <f t="shared" si="0"/>
        <v>30</v>
      </c>
      <c r="H14" s="49">
        <f t="shared" si="1"/>
        <v>225</v>
      </c>
      <c r="I14" s="49">
        <f t="shared" si="2"/>
        <v>225</v>
      </c>
      <c r="J14" s="44">
        <v>1</v>
      </c>
      <c r="K14" s="45">
        <v>30</v>
      </c>
      <c r="L14" s="45">
        <f t="shared" si="3"/>
        <v>30</v>
      </c>
      <c r="M14" s="50">
        <f t="shared" si="4"/>
        <v>450</v>
      </c>
      <c r="N14" s="49">
        <f t="shared" si="5"/>
        <v>450</v>
      </c>
      <c r="O14" s="49">
        <f t="shared" si="6"/>
        <v>675</v>
      </c>
      <c r="R14" s="9"/>
      <c r="S14" s="10"/>
    </row>
    <row r="15" spans="1:19" s="8" customFormat="1" ht="15" customHeight="1">
      <c r="A15" s="11" t="s">
        <v>2561</v>
      </c>
      <c r="B15" s="45" t="s">
        <v>62</v>
      </c>
      <c r="C15" s="46" t="s">
        <v>144</v>
      </c>
      <c r="D15" s="47">
        <v>2</v>
      </c>
      <c r="E15" s="48">
        <v>2</v>
      </c>
      <c r="F15" s="45">
        <v>30</v>
      </c>
      <c r="G15" s="44">
        <f t="shared" si="0"/>
        <v>60</v>
      </c>
      <c r="H15" s="49">
        <f t="shared" si="1"/>
        <v>450</v>
      </c>
      <c r="I15" s="49">
        <f t="shared" si="2"/>
        <v>900</v>
      </c>
      <c r="J15" s="44">
        <v>1</v>
      </c>
      <c r="K15" s="45">
        <v>30</v>
      </c>
      <c r="L15" s="45">
        <f t="shared" si="3"/>
        <v>60</v>
      </c>
      <c r="M15" s="50">
        <f t="shared" si="4"/>
        <v>900</v>
      </c>
      <c r="N15" s="49">
        <f t="shared" si="5"/>
        <v>1800</v>
      </c>
      <c r="O15" s="49">
        <f t="shared" si="6"/>
        <v>2700</v>
      </c>
      <c r="R15" s="9"/>
      <c r="S15" s="10"/>
    </row>
    <row r="16" spans="1:19" s="8" customFormat="1" ht="15" customHeight="1">
      <c r="A16" s="11" t="s">
        <v>2562</v>
      </c>
      <c r="B16" s="649"/>
      <c r="C16" s="650" t="s">
        <v>2556</v>
      </c>
      <c r="D16" s="651">
        <v>1</v>
      </c>
      <c r="E16" s="652">
        <v>1</v>
      </c>
      <c r="F16" s="649">
        <v>30</v>
      </c>
      <c r="G16" s="44">
        <f t="shared" si="0"/>
        <v>30</v>
      </c>
      <c r="H16" s="49">
        <f t="shared" si="1"/>
        <v>225</v>
      </c>
      <c r="I16" s="49">
        <f t="shared" si="2"/>
        <v>225</v>
      </c>
      <c r="J16" s="51">
        <v>1</v>
      </c>
      <c r="K16" s="649">
        <v>30</v>
      </c>
      <c r="L16" s="649">
        <f t="shared" si="3"/>
        <v>30</v>
      </c>
      <c r="M16" s="653">
        <f t="shared" si="4"/>
        <v>450</v>
      </c>
      <c r="N16" s="52">
        <f t="shared" si="5"/>
        <v>450</v>
      </c>
      <c r="O16" s="52">
        <f t="shared" si="6"/>
        <v>675</v>
      </c>
      <c r="R16" s="9"/>
      <c r="S16" s="10"/>
    </row>
    <row r="17" spans="1:19" s="8" customFormat="1" ht="15" customHeight="1">
      <c r="A17" s="11" t="s">
        <v>2563</v>
      </c>
      <c r="B17" s="649"/>
      <c r="C17" s="650" t="s">
        <v>2415</v>
      </c>
      <c r="D17" s="651">
        <v>1</v>
      </c>
      <c r="E17" s="652">
        <v>1</v>
      </c>
      <c r="F17" s="649">
        <v>30</v>
      </c>
      <c r="G17" s="44">
        <f t="shared" si="0"/>
        <v>30</v>
      </c>
      <c r="H17" s="49">
        <f t="shared" si="1"/>
        <v>225</v>
      </c>
      <c r="I17" s="49">
        <f t="shared" si="2"/>
        <v>225</v>
      </c>
      <c r="J17" s="51">
        <v>1</v>
      </c>
      <c r="K17" s="649">
        <v>30</v>
      </c>
      <c r="L17" s="649">
        <f t="shared" si="3"/>
        <v>30</v>
      </c>
      <c r="M17" s="653">
        <f t="shared" si="4"/>
        <v>450</v>
      </c>
      <c r="N17" s="52">
        <f t="shared" si="5"/>
        <v>450</v>
      </c>
      <c r="O17" s="52">
        <f t="shared" si="6"/>
        <v>675</v>
      </c>
      <c r="R17" s="9"/>
      <c r="S17" s="10"/>
    </row>
    <row r="18" spans="1:19" s="8" customFormat="1" ht="15" customHeight="1">
      <c r="A18" s="11" t="s">
        <v>2564</v>
      </c>
      <c r="B18" s="53"/>
      <c r="C18" s="596" t="s">
        <v>2119</v>
      </c>
      <c r="D18" s="54">
        <v>1</v>
      </c>
      <c r="E18" s="54">
        <v>4</v>
      </c>
      <c r="F18" s="55">
        <v>30</v>
      </c>
      <c r="G18" s="44">
        <f t="shared" si="0"/>
        <v>30</v>
      </c>
      <c r="H18" s="49">
        <f t="shared" si="1"/>
        <v>225</v>
      </c>
      <c r="I18" s="49">
        <f t="shared" si="2"/>
        <v>900</v>
      </c>
      <c r="J18" s="55">
        <v>1</v>
      </c>
      <c r="K18" s="54">
        <v>30</v>
      </c>
      <c r="L18" s="54">
        <f t="shared" si="3"/>
        <v>30</v>
      </c>
      <c r="M18" s="597">
        <f t="shared" si="4"/>
        <v>450</v>
      </c>
      <c r="N18" s="56">
        <f t="shared" si="5"/>
        <v>1800</v>
      </c>
      <c r="O18" s="56">
        <f t="shared" si="6"/>
        <v>2700</v>
      </c>
      <c r="R18" s="9"/>
      <c r="S18" s="10"/>
    </row>
    <row r="19" spans="1:19" s="8" customFormat="1" ht="16.5" customHeight="1">
      <c r="A19" s="57" t="s">
        <v>63</v>
      </c>
      <c r="B19" s="58"/>
      <c r="C19" s="59"/>
      <c r="D19" s="60">
        <f>SUM(D11:D18)</f>
        <v>13</v>
      </c>
      <c r="E19" s="60"/>
      <c r="F19" s="61"/>
      <c r="G19" s="61">
        <f>SUM(G11:G18)</f>
        <v>390</v>
      </c>
      <c r="H19" s="62">
        <f>SUM(H11:H18)</f>
        <v>2925</v>
      </c>
      <c r="I19" s="62"/>
      <c r="J19" s="61"/>
      <c r="K19" s="60"/>
      <c r="L19" s="61">
        <f>SUM(L11:L18)</f>
        <v>390</v>
      </c>
      <c r="M19" s="63">
        <f>SUM(M11:M18)</f>
        <v>5850</v>
      </c>
      <c r="N19" s="64"/>
      <c r="O19" s="65"/>
      <c r="R19" s="9"/>
      <c r="S19" s="10"/>
    </row>
    <row r="20" spans="1:19" s="8" customFormat="1" ht="16.5" customHeight="1">
      <c r="A20" s="66"/>
      <c r="B20" s="67"/>
      <c r="C20" s="68"/>
      <c r="D20" s="67"/>
      <c r="E20" s="67"/>
      <c r="F20" s="67"/>
      <c r="G20" s="67"/>
      <c r="H20" s="58" t="s">
        <v>64</v>
      </c>
      <c r="I20" s="58"/>
      <c r="J20" s="58"/>
      <c r="K20" s="58"/>
      <c r="L20" s="58"/>
      <c r="M20" s="59"/>
      <c r="N20" s="19"/>
      <c r="O20" s="19">
        <f>SUM(O11:O18)</f>
        <v>26325</v>
      </c>
      <c r="S20" s="69"/>
    </row>
    <row r="21" spans="1:19" ht="16.5" customHeight="1">
      <c r="A21" s="70"/>
      <c r="B21" s="71"/>
      <c r="D21" s="72"/>
      <c r="E21" s="72"/>
      <c r="F21" s="72"/>
      <c r="G21" s="72"/>
      <c r="H21" s="58" t="s">
        <v>35</v>
      </c>
      <c r="I21" s="58"/>
      <c r="J21" s="58"/>
      <c r="K21" s="58"/>
      <c r="L21" s="58"/>
      <c r="M21" s="59"/>
      <c r="N21" s="648">
        <v>0.245</v>
      </c>
      <c r="O21" s="13">
        <f>O20*N21</f>
        <v>6449.625</v>
      </c>
      <c r="P21" s="14"/>
      <c r="Q21" s="8"/>
      <c r="R21" s="18"/>
      <c r="S21" s="18"/>
    </row>
    <row r="22" spans="1:19" ht="18.75" customHeight="1">
      <c r="A22" s="73" t="s">
        <v>65</v>
      </c>
      <c r="B22" s="74"/>
      <c r="C22" s="74"/>
      <c r="D22" s="75">
        <v>4</v>
      </c>
      <c r="E22" s="72" t="s">
        <v>66</v>
      </c>
      <c r="F22" s="76" t="s">
        <v>67</v>
      </c>
      <c r="G22" s="58"/>
      <c r="H22" s="58"/>
      <c r="I22" s="58"/>
      <c r="J22" s="58"/>
      <c r="K22" s="58"/>
      <c r="L22" s="58"/>
      <c r="M22" s="59"/>
      <c r="N22" s="77"/>
      <c r="O22" s="13">
        <f>O20+O21</f>
        <v>32774.625</v>
      </c>
      <c r="P22" s="14"/>
      <c r="Q22" s="8"/>
      <c r="R22" s="8"/>
      <c r="S22" s="69"/>
    </row>
    <row r="23" spans="1:19" ht="16.5" customHeight="1">
      <c r="A23" s="66" t="s">
        <v>68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80"/>
      <c r="O23" s="13">
        <f>TRUNC(O22/D22,2)</f>
        <v>8193.65</v>
      </c>
      <c r="P23" s="14"/>
      <c r="Q23" s="8"/>
      <c r="R23" s="8"/>
      <c r="S23" s="69"/>
    </row>
    <row r="27" spans="1:19" ht="15.6">
      <c r="A27" s="1291" t="s">
        <v>31</v>
      </c>
      <c r="B27" s="1292"/>
      <c r="C27" s="1292"/>
      <c r="D27" s="1292"/>
      <c r="E27" s="1292"/>
      <c r="F27" s="1292"/>
      <c r="G27" s="1292"/>
      <c r="H27" s="1292"/>
      <c r="I27" s="1292"/>
      <c r="J27" s="1293"/>
      <c r="K27" s="1304"/>
      <c r="L27" s="1305"/>
      <c r="M27" s="12"/>
      <c r="N27" s="27"/>
      <c r="O27" s="28"/>
    </row>
    <row r="28" spans="1:19" ht="15.6">
      <c r="A28" s="1294" t="s">
        <v>150</v>
      </c>
      <c r="B28" s="1295"/>
      <c r="C28" s="1295"/>
      <c r="D28" s="1295"/>
      <c r="E28" s="1295"/>
      <c r="F28" s="1295"/>
      <c r="G28" s="1295"/>
      <c r="H28" s="1295"/>
      <c r="I28" s="1295"/>
      <c r="J28" s="1296"/>
      <c r="K28" s="1306"/>
      <c r="L28" s="1307"/>
      <c r="M28" s="29"/>
      <c r="N28" s="30"/>
      <c r="O28" s="31"/>
    </row>
    <row r="29" spans="1:19">
      <c r="A29" s="32" t="s">
        <v>32</v>
      </c>
      <c r="B29" s="32" t="s">
        <v>33</v>
      </c>
      <c r="C29" s="33" t="s">
        <v>34</v>
      </c>
      <c r="D29" s="34" t="s">
        <v>39</v>
      </c>
      <c r="E29" s="35"/>
      <c r="F29" s="36"/>
      <c r="G29" s="36"/>
      <c r="H29" s="36"/>
      <c r="I29" s="37"/>
      <c r="J29" s="1297"/>
      <c r="K29" s="18"/>
      <c r="L29" s="15"/>
      <c r="M29" s="16"/>
      <c r="N29" s="17"/>
      <c r="O29" s="18"/>
    </row>
    <row r="30" spans="1:19">
      <c r="A30" s="32"/>
      <c r="B30" s="32"/>
      <c r="C30" s="33"/>
      <c r="D30" s="1300" t="s">
        <v>41</v>
      </c>
      <c r="E30" s="1302" t="s">
        <v>42</v>
      </c>
      <c r="F30" s="38" t="s">
        <v>43</v>
      </c>
      <c r="G30" s="39"/>
      <c r="H30" s="40" t="s">
        <v>44</v>
      </c>
      <c r="I30" s="41"/>
      <c r="J30" s="1298"/>
      <c r="K30" s="18"/>
      <c r="L30" s="15"/>
      <c r="M30" s="16"/>
      <c r="N30" s="17"/>
      <c r="O30" s="18"/>
    </row>
    <row r="31" spans="1:19" ht="18" customHeight="1">
      <c r="A31" s="42"/>
      <c r="B31" s="42"/>
      <c r="C31" s="43"/>
      <c r="D31" s="1301"/>
      <c r="E31" s="1303"/>
      <c r="F31" s="526" t="s">
        <v>17</v>
      </c>
      <c r="G31" s="526" t="s">
        <v>145</v>
      </c>
      <c r="H31" s="527" t="s">
        <v>48</v>
      </c>
      <c r="I31" s="528" t="s">
        <v>49</v>
      </c>
      <c r="J31" s="1299"/>
      <c r="K31" s="18"/>
      <c r="L31" s="15"/>
      <c r="M31" s="16"/>
      <c r="N31" s="17"/>
      <c r="O31" s="18"/>
    </row>
    <row r="32" spans="1:19" ht="15.6">
      <c r="A32" s="22"/>
      <c r="B32" s="23"/>
      <c r="C32" s="14"/>
      <c r="D32" s="14"/>
      <c r="E32" s="14"/>
      <c r="F32" s="25"/>
      <c r="G32" s="25"/>
      <c r="H32" s="14"/>
      <c r="I32" s="14"/>
      <c r="J32" s="14"/>
      <c r="K32" s="18"/>
      <c r="L32" s="15"/>
      <c r="M32" s="16"/>
      <c r="N32" s="17"/>
      <c r="O32" s="18"/>
    </row>
    <row r="33" spans="1:15" ht="18.75" customHeight="1">
      <c r="A33" s="662" t="s">
        <v>7</v>
      </c>
      <c r="B33" s="663"/>
      <c r="C33" s="664" t="s">
        <v>151</v>
      </c>
      <c r="D33" s="665"/>
      <c r="E33" s="665"/>
      <c r="F33" s="666"/>
      <c r="G33" s="666"/>
      <c r="H33" s="666"/>
      <c r="I33" s="667"/>
      <c r="J33" s="18"/>
      <c r="K33" s="15"/>
      <c r="L33" s="16"/>
      <c r="M33" s="17"/>
      <c r="N33" s="18"/>
      <c r="O33" s="18"/>
    </row>
    <row r="34" spans="1:15" ht="15.75" customHeight="1">
      <c r="A34" s="668" t="s">
        <v>21</v>
      </c>
      <c r="B34" s="668"/>
      <c r="C34" s="669" t="s">
        <v>51</v>
      </c>
      <c r="D34" s="670"/>
      <c r="E34" s="671"/>
      <c r="F34" s="672"/>
      <c r="G34" s="672"/>
      <c r="H34" s="672"/>
      <c r="I34" s="672"/>
      <c r="J34" s="18"/>
      <c r="K34" s="15"/>
      <c r="L34" s="16"/>
      <c r="M34" s="17"/>
      <c r="N34" s="18"/>
      <c r="O34" s="18"/>
    </row>
    <row r="35" spans="1:15" ht="18" customHeight="1">
      <c r="A35" s="11" t="s">
        <v>2565</v>
      </c>
      <c r="B35" s="137" t="s">
        <v>153</v>
      </c>
      <c r="C35" s="46" t="s">
        <v>2413</v>
      </c>
      <c r="D35" s="47">
        <v>1</v>
      </c>
      <c r="E35" s="48">
        <v>1</v>
      </c>
      <c r="F35" s="45">
        <v>1</v>
      </c>
      <c r="G35" s="646">
        <v>20000</v>
      </c>
      <c r="H35" s="50">
        <f>G35*F35</f>
        <v>20000</v>
      </c>
      <c r="I35" s="49">
        <f t="shared" ref="I35" si="7">E35*H35</f>
        <v>20000</v>
      </c>
      <c r="J35" s="18" t="s">
        <v>2416</v>
      </c>
      <c r="K35" s="15"/>
      <c r="L35" s="16"/>
      <c r="M35" s="17"/>
      <c r="N35" s="18"/>
      <c r="O35" s="18"/>
    </row>
    <row r="36" spans="1:15" ht="17.25" customHeight="1">
      <c r="A36" s="11" t="s">
        <v>2566</v>
      </c>
      <c r="B36" s="137" t="s">
        <v>153</v>
      </c>
      <c r="C36" s="138" t="s">
        <v>154</v>
      </c>
      <c r="D36" s="47">
        <v>1</v>
      </c>
      <c r="E36" s="48">
        <v>4</v>
      </c>
      <c r="F36" s="45">
        <v>1</v>
      </c>
      <c r="G36" s="646">
        <v>5236</v>
      </c>
      <c r="H36" s="50">
        <f>G36*F36</f>
        <v>5236</v>
      </c>
      <c r="I36" s="49">
        <f>E36*H36</f>
        <v>20944</v>
      </c>
      <c r="J36" s="18"/>
      <c r="K36" s="15"/>
      <c r="L36" s="16"/>
      <c r="M36" s="17"/>
      <c r="N36" s="18"/>
      <c r="O36" s="18"/>
    </row>
    <row r="37" spans="1:15" ht="17.25" customHeight="1">
      <c r="A37" s="11" t="s">
        <v>2567</v>
      </c>
      <c r="B37" s="137" t="s">
        <v>153</v>
      </c>
      <c r="C37" s="138" t="s">
        <v>158</v>
      </c>
      <c r="D37" s="47">
        <v>1</v>
      </c>
      <c r="E37" s="48">
        <v>4</v>
      </c>
      <c r="F37" s="45">
        <v>308</v>
      </c>
      <c r="G37" s="598">
        <v>4.5999999999999996</v>
      </c>
      <c r="H37" s="50">
        <f>G37*F37</f>
        <v>1416.8</v>
      </c>
      <c r="I37" s="49">
        <f>E37*H37</f>
        <v>5667.2</v>
      </c>
      <c r="J37" s="18"/>
      <c r="K37" s="15"/>
      <c r="L37" s="16"/>
      <c r="M37" s="17"/>
      <c r="N37" s="18"/>
      <c r="O37" s="18"/>
    </row>
    <row r="38" spans="1:15" ht="14.4">
      <c r="A38" s="57" t="s">
        <v>63</v>
      </c>
      <c r="B38" s="58"/>
      <c r="C38" s="59"/>
      <c r="D38" s="647">
        <f>SUM(D35:D37)</f>
        <v>3</v>
      </c>
      <c r="E38" s="60"/>
      <c r="F38" s="60"/>
      <c r="G38" s="61"/>
      <c r="H38" s="63"/>
      <c r="I38" s="65">
        <f>SUM(I35:I37)</f>
        <v>46611.199999999997</v>
      </c>
      <c r="J38" s="18"/>
      <c r="K38" s="15"/>
      <c r="L38" s="16"/>
      <c r="M38" s="17"/>
      <c r="N38" s="18"/>
      <c r="O38" s="18"/>
    </row>
    <row r="39" spans="1:15" ht="18" customHeight="1">
      <c r="A39" s="66"/>
      <c r="B39" s="67"/>
      <c r="C39" s="68"/>
      <c r="D39" s="67"/>
      <c r="E39" s="67"/>
      <c r="F39" s="67"/>
      <c r="G39" s="67"/>
      <c r="H39" s="58" t="s">
        <v>64</v>
      </c>
      <c r="I39" s="58"/>
      <c r="J39" s="599"/>
      <c r="K39" s="58"/>
      <c r="L39" s="58"/>
      <c r="M39" s="59"/>
      <c r="N39" s="745">
        <f>I38</f>
        <v>46611.199999999997</v>
      </c>
      <c r="O39" s="746">
        <f>N39</f>
        <v>46611.199999999997</v>
      </c>
    </row>
    <row r="40" spans="1:15" ht="18" customHeight="1">
      <c r="A40" s="70"/>
      <c r="B40" s="71"/>
      <c r="D40" s="72"/>
      <c r="E40" s="72"/>
      <c r="F40" s="72"/>
      <c r="G40" s="72"/>
      <c r="H40" s="58" t="s">
        <v>35</v>
      </c>
      <c r="I40" s="58"/>
      <c r="J40" s="599"/>
      <c r="K40" s="58"/>
      <c r="L40" s="58"/>
      <c r="M40" s="59"/>
      <c r="N40" s="747">
        <v>0.245</v>
      </c>
      <c r="O40" s="746">
        <f>N39*N40</f>
        <v>11419.743999999999</v>
      </c>
    </row>
    <row r="41" spans="1:15" ht="18" customHeight="1">
      <c r="A41" s="73" t="s">
        <v>65</v>
      </c>
      <c r="B41" s="74"/>
      <c r="C41" s="74"/>
      <c r="D41" s="75">
        <v>4</v>
      </c>
      <c r="E41" s="72" t="s">
        <v>66</v>
      </c>
      <c r="F41" s="76" t="s">
        <v>67</v>
      </c>
      <c r="G41" s="58"/>
      <c r="H41" s="58"/>
      <c r="I41" s="58"/>
      <c r="J41" s="599"/>
      <c r="K41" s="58"/>
      <c r="L41" s="58"/>
      <c r="M41" s="59"/>
      <c r="N41" s="748"/>
      <c r="O41" s="746">
        <f>O39+O40</f>
        <v>58030.943999999996</v>
      </c>
    </row>
    <row r="42" spans="1:15" ht="18" customHeight="1">
      <c r="A42" s="66" t="s">
        <v>2122</v>
      </c>
      <c r="B42" s="78"/>
      <c r="C42" s="78"/>
      <c r="D42" s="78"/>
      <c r="E42" s="78"/>
      <c r="F42" s="78"/>
      <c r="G42" s="78"/>
      <c r="H42" s="78"/>
      <c r="I42" s="78"/>
      <c r="J42" s="599"/>
      <c r="K42" s="78"/>
      <c r="L42" s="78"/>
      <c r="M42" s="79"/>
      <c r="N42" s="80"/>
      <c r="O42" s="13">
        <f>TRUNC(O41/D41,2)</f>
        <v>14507.73</v>
      </c>
    </row>
    <row r="44" spans="1:15" ht="15.6">
      <c r="A44" s="1291" t="s">
        <v>31</v>
      </c>
      <c r="B44" s="1292"/>
      <c r="C44" s="1292"/>
      <c r="D44" s="1292"/>
      <c r="E44" s="1292"/>
      <c r="F44" s="1292"/>
      <c r="G44" s="1292"/>
      <c r="H44" s="1292"/>
      <c r="I44" s="1292"/>
      <c r="J44" s="1293"/>
    </row>
    <row r="45" spans="1:15" ht="15.6">
      <c r="A45" s="1294" t="s">
        <v>2470</v>
      </c>
      <c r="B45" s="1295"/>
      <c r="C45" s="1295"/>
      <c r="D45" s="1295"/>
      <c r="E45" s="1295"/>
      <c r="F45" s="1295"/>
      <c r="G45" s="1295"/>
      <c r="H45" s="1295"/>
      <c r="I45" s="1295"/>
      <c r="J45" s="1296"/>
    </row>
    <row r="46" spans="1:15">
      <c r="A46" s="32" t="s">
        <v>32</v>
      </c>
      <c r="B46" s="32" t="s">
        <v>33</v>
      </c>
      <c r="C46" s="33" t="s">
        <v>34</v>
      </c>
      <c r="D46" s="34" t="s">
        <v>39</v>
      </c>
      <c r="E46" s="35"/>
      <c r="F46" s="36"/>
      <c r="G46" s="36"/>
      <c r="H46" s="36"/>
      <c r="I46" s="37"/>
      <c r="J46" s="1297"/>
    </row>
    <row r="47" spans="1:15">
      <c r="A47" s="32"/>
      <c r="B47" s="32"/>
      <c r="C47" s="33"/>
      <c r="D47" s="1300" t="s">
        <v>41</v>
      </c>
      <c r="E47" s="1302" t="s">
        <v>42</v>
      </c>
      <c r="F47" s="38" t="s">
        <v>43</v>
      </c>
      <c r="G47" s="39"/>
      <c r="H47" s="40" t="s">
        <v>44</v>
      </c>
      <c r="I47" s="41"/>
      <c r="J47" s="1298"/>
    </row>
    <row r="48" spans="1:15">
      <c r="A48" s="42"/>
      <c r="B48" s="42"/>
      <c r="C48" s="43"/>
      <c r="D48" s="1301"/>
      <c r="E48" s="1303"/>
      <c r="F48" s="526" t="s">
        <v>17</v>
      </c>
      <c r="G48" s="526" t="s">
        <v>145</v>
      </c>
      <c r="H48" s="527" t="s">
        <v>48</v>
      </c>
      <c r="I48" s="528" t="s">
        <v>49</v>
      </c>
      <c r="J48" s="1299"/>
    </row>
    <row r="50" spans="1:15" ht="15.6">
      <c r="A50" s="662" t="s">
        <v>8</v>
      </c>
      <c r="B50" s="663"/>
      <c r="C50" s="664" t="s">
        <v>2470</v>
      </c>
      <c r="D50" s="665"/>
      <c r="E50" s="665"/>
      <c r="F50" s="666"/>
      <c r="G50" s="666"/>
      <c r="H50" s="666"/>
      <c r="I50" s="667"/>
    </row>
    <row r="51" spans="1:15" ht="15.9" customHeight="1">
      <c r="A51" s="730" t="s">
        <v>22</v>
      </c>
      <c r="B51" s="685" t="s">
        <v>2477</v>
      </c>
      <c r="C51" s="673" t="s">
        <v>55</v>
      </c>
      <c r="D51" s="674">
        <v>1</v>
      </c>
      <c r="E51" s="48">
        <v>2</v>
      </c>
      <c r="F51" s="675">
        <v>1</v>
      </c>
      <c r="G51" s="676">
        <v>3730.16</v>
      </c>
      <c r="H51" s="677">
        <f t="shared" ref="H51:H60" si="8">G51*F51</f>
        <v>3730.16</v>
      </c>
      <c r="I51" s="678">
        <f t="shared" ref="I51:I60" si="9">E51*H51</f>
        <v>7460.32</v>
      </c>
      <c r="K51" s="82" t="s">
        <v>2494</v>
      </c>
    </row>
    <row r="52" spans="1:15" ht="15.9" customHeight="1">
      <c r="A52" s="730" t="s">
        <v>52</v>
      </c>
      <c r="B52" s="685" t="s">
        <v>2550</v>
      </c>
      <c r="C52" s="673" t="s">
        <v>57</v>
      </c>
      <c r="D52" s="674">
        <v>1</v>
      </c>
      <c r="E52" s="48">
        <v>4</v>
      </c>
      <c r="F52" s="675">
        <v>1</v>
      </c>
      <c r="G52" s="676">
        <v>3469.95</v>
      </c>
      <c r="H52" s="677">
        <f t="shared" si="8"/>
        <v>3469.95</v>
      </c>
      <c r="I52" s="678">
        <f t="shared" si="9"/>
        <v>13879.8</v>
      </c>
    </row>
    <row r="53" spans="1:15" ht="15.9" customHeight="1">
      <c r="A53" s="730" t="s">
        <v>53</v>
      </c>
      <c r="B53" s="685" t="s">
        <v>2476</v>
      </c>
      <c r="C53" s="673" t="s">
        <v>2495</v>
      </c>
      <c r="D53" s="674">
        <v>4</v>
      </c>
      <c r="E53" s="48">
        <v>4</v>
      </c>
      <c r="F53" s="675">
        <v>1</v>
      </c>
      <c r="G53" s="676">
        <v>2590.89</v>
      </c>
      <c r="H53" s="677">
        <f t="shared" si="8"/>
        <v>2590.89</v>
      </c>
      <c r="I53" s="678">
        <f t="shared" si="9"/>
        <v>10363.56</v>
      </c>
    </row>
    <row r="54" spans="1:15" ht="15.9" customHeight="1">
      <c r="A54" s="730" t="s">
        <v>54</v>
      </c>
      <c r="B54" s="685" t="s">
        <v>2475</v>
      </c>
      <c r="C54" s="673" t="s">
        <v>69</v>
      </c>
      <c r="D54" s="674">
        <v>2</v>
      </c>
      <c r="E54" s="48">
        <v>4</v>
      </c>
      <c r="F54" s="675">
        <v>1</v>
      </c>
      <c r="G54" s="676">
        <v>2590.89</v>
      </c>
      <c r="H54" s="677">
        <f t="shared" si="8"/>
        <v>2590.89</v>
      </c>
      <c r="I54" s="678">
        <f t="shared" si="9"/>
        <v>10363.56</v>
      </c>
    </row>
    <row r="55" spans="1:15" ht="15.9" customHeight="1">
      <c r="A55" s="730" t="s">
        <v>2469</v>
      </c>
      <c r="B55" s="685" t="s">
        <v>2474</v>
      </c>
      <c r="C55" s="673" t="s">
        <v>2478</v>
      </c>
      <c r="D55" s="674">
        <v>1</v>
      </c>
      <c r="E55" s="48">
        <v>1</v>
      </c>
      <c r="F55" s="675">
        <v>1</v>
      </c>
      <c r="G55" s="676">
        <v>2590.89</v>
      </c>
      <c r="H55" s="677">
        <f t="shared" si="8"/>
        <v>2590.89</v>
      </c>
      <c r="I55" s="678">
        <f t="shared" si="9"/>
        <v>2590.89</v>
      </c>
    </row>
    <row r="56" spans="1:15" ht="15.9" customHeight="1">
      <c r="A56" s="730" t="s">
        <v>2568</v>
      </c>
      <c r="B56" s="685" t="s">
        <v>2551</v>
      </c>
      <c r="C56" s="673" t="s">
        <v>2479</v>
      </c>
      <c r="D56" s="674">
        <v>2</v>
      </c>
      <c r="E56" s="48">
        <v>2</v>
      </c>
      <c r="F56" s="675">
        <v>1</v>
      </c>
      <c r="G56" s="676">
        <v>2679.57</v>
      </c>
      <c r="H56" s="677">
        <f t="shared" si="8"/>
        <v>2679.57</v>
      </c>
      <c r="I56" s="678">
        <f t="shared" si="9"/>
        <v>5359.14</v>
      </c>
    </row>
    <row r="57" spans="1:15" ht="15.9" customHeight="1">
      <c r="A57" s="730" t="s">
        <v>2569</v>
      </c>
      <c r="B57" s="683" t="s">
        <v>2414</v>
      </c>
      <c r="C57" s="673" t="s">
        <v>2472</v>
      </c>
      <c r="D57" s="674">
        <v>1</v>
      </c>
      <c r="E57" s="652">
        <v>1</v>
      </c>
      <c r="F57" s="675">
        <v>1</v>
      </c>
      <c r="G57" s="676">
        <v>2325.23</v>
      </c>
      <c r="H57" s="677">
        <f t="shared" si="8"/>
        <v>2325.23</v>
      </c>
      <c r="I57" s="678">
        <f t="shared" si="9"/>
        <v>2325.23</v>
      </c>
    </row>
    <row r="58" spans="1:15" ht="15.9" customHeight="1">
      <c r="A58" s="730" t="s">
        <v>2570</v>
      </c>
      <c r="B58" s="683" t="s">
        <v>2473</v>
      </c>
      <c r="C58" s="673" t="s">
        <v>2471</v>
      </c>
      <c r="D58" s="674">
        <v>1</v>
      </c>
      <c r="E58" s="652">
        <v>1</v>
      </c>
      <c r="F58" s="675">
        <v>1</v>
      </c>
      <c r="G58" s="676">
        <v>2495.36</v>
      </c>
      <c r="H58" s="677">
        <f t="shared" si="8"/>
        <v>2495.36</v>
      </c>
      <c r="I58" s="678">
        <f t="shared" si="9"/>
        <v>2495.36</v>
      </c>
    </row>
    <row r="59" spans="1:15" ht="15.9" customHeight="1">
      <c r="A59" s="730" t="s">
        <v>2571</v>
      </c>
      <c r="B59" s="989" t="s">
        <v>2961</v>
      </c>
      <c r="C59" s="990" t="s">
        <v>2119</v>
      </c>
      <c r="D59" s="991">
        <v>1</v>
      </c>
      <c r="E59" s="652">
        <v>4</v>
      </c>
      <c r="F59" s="992">
        <v>1</v>
      </c>
      <c r="G59" s="993">
        <v>2742.55</v>
      </c>
      <c r="H59" s="677">
        <f t="shared" ref="H59" si="10">G59*F59</f>
        <v>2742.55</v>
      </c>
      <c r="I59" s="678">
        <f t="shared" ref="I59" si="11">E59*H59</f>
        <v>10970.2</v>
      </c>
    </row>
    <row r="60" spans="1:15" ht="15.9" customHeight="1">
      <c r="A60" s="684"/>
      <c r="B60" s="687"/>
      <c r="C60" s="686" t="s">
        <v>2640</v>
      </c>
      <c r="D60" s="679">
        <v>1</v>
      </c>
      <c r="E60" s="54">
        <v>4</v>
      </c>
      <c r="F60" s="679">
        <v>1</v>
      </c>
      <c r="G60" s="680">
        <v>3850</v>
      </c>
      <c r="H60" s="681">
        <f t="shared" si="8"/>
        <v>3850</v>
      </c>
      <c r="I60" s="682">
        <f t="shared" si="9"/>
        <v>15400</v>
      </c>
      <c r="N60" s="699"/>
      <c r="O60" s="699"/>
    </row>
    <row r="61" spans="1:15" ht="14.1" customHeight="1">
      <c r="A61" s="689"/>
      <c r="B61" s="691"/>
      <c r="C61" s="693" t="s">
        <v>2554</v>
      </c>
      <c r="D61" s="695"/>
      <c r="E61" s="695"/>
      <c r="F61" s="696"/>
      <c r="G61" s="696"/>
      <c r="H61" s="696"/>
      <c r="I61" s="696">
        <f>SUM(I51:I60)</f>
        <v>81208.06</v>
      </c>
    </row>
    <row r="62" spans="1:15" ht="14.1" customHeight="1">
      <c r="A62" s="725"/>
      <c r="B62" s="726"/>
      <c r="C62" s="727" t="s">
        <v>2555</v>
      </c>
      <c r="D62" s="728"/>
      <c r="E62" s="728"/>
      <c r="F62" s="729"/>
      <c r="G62" s="729"/>
      <c r="H62" s="729"/>
      <c r="I62" s="729">
        <f>I61/1.7525</f>
        <v>46338.407988587729</v>
      </c>
    </row>
    <row r="63" spans="1:15" ht="14.1" customHeight="1">
      <c r="A63" s="690"/>
      <c r="B63" s="692"/>
      <c r="C63" s="694" t="s">
        <v>2552</v>
      </c>
      <c r="D63" s="697"/>
      <c r="E63" s="697"/>
      <c r="F63" s="698"/>
      <c r="G63" s="698"/>
      <c r="H63" s="698"/>
      <c r="I63" s="698">
        <f>(I62)*1.1875</f>
        <v>55026.859486447931</v>
      </c>
    </row>
    <row r="64" spans="1:15" ht="14.1" customHeight="1">
      <c r="A64" s="690"/>
      <c r="B64" s="692"/>
      <c r="C64" s="694" t="s">
        <v>2492</v>
      </c>
      <c r="D64" s="697"/>
      <c r="E64" s="697"/>
      <c r="F64" s="698"/>
      <c r="G64" s="698"/>
      <c r="H64" s="698"/>
      <c r="I64" s="698">
        <f>(I62+I63)*0.245</f>
        <v>24834.490531383733</v>
      </c>
    </row>
    <row r="65" spans="1:9" ht="14.1" customHeight="1">
      <c r="A65" s="690"/>
      <c r="B65" s="692"/>
      <c r="C65" s="694" t="s">
        <v>2493</v>
      </c>
      <c r="D65" s="697"/>
      <c r="E65" s="697"/>
      <c r="F65" s="698"/>
      <c r="G65" s="698"/>
      <c r="H65" s="698"/>
      <c r="I65" s="698">
        <f>SUM(I62:I64)</f>
        <v>126199.75800641939</v>
      </c>
    </row>
    <row r="66" spans="1:9" ht="14.1" customHeight="1">
      <c r="C66" s="724" t="s">
        <v>2553</v>
      </c>
      <c r="I66" s="699">
        <f>I65/E60</f>
        <v>31549.939501604847</v>
      </c>
    </row>
  </sheetData>
  <mergeCells count="18">
    <mergeCell ref="A27:J27"/>
    <mergeCell ref="K27:L28"/>
    <mergeCell ref="A28:J28"/>
    <mergeCell ref="J29:J31"/>
    <mergeCell ref="D30:D31"/>
    <mergeCell ref="E30:E31"/>
    <mergeCell ref="A3:J3"/>
    <mergeCell ref="K3:L4"/>
    <mergeCell ref="A4:J4"/>
    <mergeCell ref="O5:O7"/>
    <mergeCell ref="D6:D7"/>
    <mergeCell ref="E6:E7"/>
    <mergeCell ref="J6:J7"/>
    <mergeCell ref="A44:J44"/>
    <mergeCell ref="A45:J45"/>
    <mergeCell ref="J46:J48"/>
    <mergeCell ref="D47:D48"/>
    <mergeCell ref="E47:E48"/>
  </mergeCells>
  <phoneticPr fontId="41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75" firstPageNumber="9" orientation="landscape" r:id="rId1"/>
  <headerFooter alignWithMargins="0"/>
  <rowBreaks count="1" manualBreakCount="1">
    <brk id="23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A51A-6001-49E7-BBAE-F348174CD2BA}">
  <dimension ref="A2:AB42"/>
  <sheetViews>
    <sheetView tabSelected="1" view="pageBreakPreview" zoomScale="60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43" sqref="O43"/>
    </sheetView>
  </sheetViews>
  <sheetFormatPr defaultColWidth="9.109375" defaultRowHeight="13.8"/>
  <cols>
    <col min="1" max="1" width="9.109375" style="1048"/>
    <col min="2" max="2" width="37.6640625" style="1048" customWidth="1"/>
    <col min="3" max="3" width="19.5546875" style="1048" customWidth="1"/>
    <col min="4" max="4" width="10.33203125" style="1048" bestFit="1" customWidth="1"/>
    <col min="5" max="5" width="13.6640625" style="1048" hidden="1" customWidth="1"/>
    <col min="6" max="6" width="0" style="1048" hidden="1" customWidth="1"/>
    <col min="7" max="7" width="11.33203125" style="1048" hidden="1" customWidth="1"/>
    <col min="8" max="8" width="0" style="1048" hidden="1" customWidth="1"/>
    <col min="9" max="9" width="13" style="1048" customWidth="1"/>
    <col min="10" max="10" width="9.109375" style="1048"/>
    <col min="11" max="11" width="12.44140625" style="1048" hidden="1" customWidth="1"/>
    <col min="12" max="12" width="0" style="1048" hidden="1" customWidth="1"/>
    <col min="13" max="13" width="12.44140625" style="1048" hidden="1" customWidth="1"/>
    <col min="14" max="14" width="0" style="1048" hidden="1" customWidth="1"/>
    <col min="15" max="15" width="14.33203125" style="1048" bestFit="1" customWidth="1"/>
    <col min="16" max="16" width="9.109375" style="1048"/>
    <col min="17" max="17" width="12.44140625" style="1048" hidden="1" customWidth="1"/>
    <col min="18" max="18" width="0" style="1048" hidden="1" customWidth="1"/>
    <col min="19" max="19" width="12.44140625" style="1048" hidden="1" customWidth="1"/>
    <col min="20" max="20" width="0" style="1048" hidden="1" customWidth="1"/>
    <col min="21" max="21" width="12.33203125" style="1048" bestFit="1" customWidth="1"/>
    <col min="22" max="22" width="9.109375" style="1048"/>
    <col min="23" max="23" width="12.33203125" style="1048" hidden="1" customWidth="1"/>
    <col min="24" max="24" width="9.109375" style="1048" hidden="1" customWidth="1"/>
    <col min="25" max="25" width="12.33203125" style="1048" hidden="1" customWidth="1"/>
    <col min="26" max="26" width="9.109375" style="1048" hidden="1" customWidth="1"/>
    <col min="27" max="27" width="12.5546875" style="1048" bestFit="1" customWidth="1"/>
    <col min="28" max="28" width="9.109375" style="1048" customWidth="1"/>
    <col min="29" max="16384" width="9.109375" style="1048"/>
  </cols>
  <sheetData>
    <row r="2" spans="1:28">
      <c r="E2" s="1310">
        <v>10</v>
      </c>
      <c r="F2" s="1311"/>
      <c r="G2" s="1310">
        <v>20</v>
      </c>
      <c r="H2" s="1311"/>
      <c r="I2" s="1310">
        <v>30</v>
      </c>
      <c r="J2" s="1311"/>
      <c r="K2" s="1310">
        <v>40</v>
      </c>
      <c r="L2" s="1311"/>
      <c r="M2" s="1310">
        <v>50</v>
      </c>
      <c r="N2" s="1311"/>
      <c r="O2" s="1310">
        <v>60</v>
      </c>
      <c r="P2" s="1311"/>
      <c r="Q2" s="1310">
        <v>70</v>
      </c>
      <c r="R2" s="1311"/>
      <c r="S2" s="1310">
        <v>80</v>
      </c>
      <c r="T2" s="1311"/>
      <c r="U2" s="1310">
        <v>90</v>
      </c>
      <c r="V2" s="1311"/>
      <c r="W2" s="1310">
        <v>100</v>
      </c>
      <c r="X2" s="1311"/>
      <c r="Y2" s="1310">
        <v>110</v>
      </c>
      <c r="Z2" s="1311"/>
      <c r="AA2" s="1310">
        <v>120</v>
      </c>
      <c r="AB2" s="1311"/>
    </row>
    <row r="3" spans="1:28">
      <c r="E3" s="1312" t="s">
        <v>3291</v>
      </c>
      <c r="F3" s="1313"/>
      <c r="G3" s="1312" t="s">
        <v>3291</v>
      </c>
      <c r="H3" s="1313"/>
      <c r="I3" s="1312" t="s">
        <v>3291</v>
      </c>
      <c r="J3" s="1313"/>
      <c r="K3" s="1312" t="s">
        <v>3291</v>
      </c>
      <c r="L3" s="1313"/>
      <c r="M3" s="1312" t="s">
        <v>3291</v>
      </c>
      <c r="N3" s="1313"/>
      <c r="O3" s="1312" t="s">
        <v>3291</v>
      </c>
      <c r="P3" s="1313"/>
      <c r="Q3" s="1312" t="s">
        <v>3291</v>
      </c>
      <c r="R3" s="1313"/>
      <c r="S3" s="1312" t="s">
        <v>3291</v>
      </c>
      <c r="T3" s="1313"/>
      <c r="U3" s="1312" t="s">
        <v>3291</v>
      </c>
      <c r="V3" s="1313"/>
      <c r="W3" s="1312" t="s">
        <v>3291</v>
      </c>
      <c r="X3" s="1313"/>
      <c r="Y3" s="1312" t="s">
        <v>3291</v>
      </c>
      <c r="Z3" s="1313"/>
      <c r="AA3" s="1312" t="s">
        <v>3291</v>
      </c>
      <c r="AB3" s="1313"/>
    </row>
    <row r="4" spans="1:28">
      <c r="C4" s="1049" t="s">
        <v>3292</v>
      </c>
      <c r="D4" s="1049" t="s">
        <v>3293</v>
      </c>
      <c r="E4" s="1050" t="s">
        <v>3294</v>
      </c>
      <c r="F4" s="1050" t="s">
        <v>3295</v>
      </c>
      <c r="G4" s="1050" t="s">
        <v>3294</v>
      </c>
      <c r="H4" s="1050" t="s">
        <v>3295</v>
      </c>
      <c r="I4" s="1050" t="s">
        <v>3294</v>
      </c>
      <c r="J4" s="1050" t="s">
        <v>3295</v>
      </c>
      <c r="K4" s="1050" t="s">
        <v>3294</v>
      </c>
      <c r="L4" s="1050" t="s">
        <v>3295</v>
      </c>
      <c r="M4" s="1050" t="s">
        <v>3294</v>
      </c>
      <c r="N4" s="1050" t="s">
        <v>3295</v>
      </c>
      <c r="O4" s="1050" t="s">
        <v>3294</v>
      </c>
      <c r="P4" s="1050" t="s">
        <v>3295</v>
      </c>
      <c r="Q4" s="1050" t="s">
        <v>3294</v>
      </c>
      <c r="R4" s="1050" t="s">
        <v>3295</v>
      </c>
      <c r="S4" s="1050" t="s">
        <v>3294</v>
      </c>
      <c r="T4" s="1050" t="s">
        <v>3295</v>
      </c>
      <c r="U4" s="1050" t="s">
        <v>3294</v>
      </c>
      <c r="V4" s="1050" t="s">
        <v>3295</v>
      </c>
      <c r="W4" s="1050" t="s">
        <v>3294</v>
      </c>
      <c r="X4" s="1050" t="s">
        <v>3295</v>
      </c>
      <c r="Y4" s="1050" t="s">
        <v>3294</v>
      </c>
      <c r="Z4" s="1050" t="s">
        <v>3295</v>
      </c>
      <c r="AA4" s="1050" t="s">
        <v>3294</v>
      </c>
      <c r="AB4" s="1050" t="s">
        <v>3295</v>
      </c>
    </row>
    <row r="5" spans="1:28" ht="26.25" customHeight="1">
      <c r="A5" s="1051" t="s">
        <v>24</v>
      </c>
      <c r="B5" s="1049" t="s">
        <v>136</v>
      </c>
      <c r="C5" s="1052"/>
      <c r="D5" s="1053"/>
      <c r="E5" s="1053"/>
      <c r="F5" s="1053"/>
      <c r="G5" s="1053"/>
      <c r="H5" s="1053"/>
      <c r="I5" s="1053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</row>
    <row r="6" spans="1:28" ht="23.25" customHeight="1">
      <c r="A6" s="1055" t="s">
        <v>6</v>
      </c>
      <c r="B6" s="1056" t="s">
        <v>3296</v>
      </c>
      <c r="C6" s="1052">
        <f>Orçamento!Q13</f>
        <v>34046.93</v>
      </c>
      <c r="D6" s="1057">
        <f>C6/C39</f>
        <v>1.1056616112352962E-2</v>
      </c>
      <c r="F6" s="1053"/>
      <c r="G6" s="1053"/>
      <c r="H6" s="1053"/>
      <c r="I6" s="1065">
        <f>C6</f>
        <v>34046.93</v>
      </c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</row>
    <row r="7" spans="1:28" ht="23.25" customHeight="1">
      <c r="A7" s="1055" t="s">
        <v>7</v>
      </c>
      <c r="B7" s="1056" t="s">
        <v>3297</v>
      </c>
      <c r="C7" s="1052">
        <f>Orçamento!Q22</f>
        <v>16589.739999999998</v>
      </c>
      <c r="D7" s="1057">
        <f>C7/C39</f>
        <v>5.3874574472278823E-3</v>
      </c>
      <c r="E7" s="1066"/>
      <c r="F7" s="1053"/>
      <c r="G7" s="1053"/>
      <c r="H7" s="1053"/>
      <c r="I7" s="1067">
        <f>C7/4</f>
        <v>4147.4349999999995</v>
      </c>
      <c r="J7" s="1054"/>
      <c r="K7" s="1054"/>
      <c r="L7" s="1054"/>
      <c r="M7" s="1054"/>
      <c r="N7" s="1054"/>
      <c r="O7" s="1065">
        <f>C7/4</f>
        <v>4147.4349999999995</v>
      </c>
      <c r="P7" s="1054"/>
      <c r="Q7" s="1054"/>
      <c r="R7" s="1054"/>
      <c r="S7" s="1054"/>
      <c r="T7" s="1054"/>
      <c r="U7" s="1065">
        <f>C7/4</f>
        <v>4147.4349999999995</v>
      </c>
      <c r="V7" s="1054"/>
      <c r="W7" s="1054"/>
      <c r="X7" s="1054"/>
      <c r="Y7" s="1054"/>
      <c r="Z7" s="1054"/>
      <c r="AA7" s="1065">
        <f>C7/4</f>
        <v>4147.4349999999995</v>
      </c>
      <c r="AB7" s="1054"/>
    </row>
    <row r="8" spans="1:28" ht="23.25" customHeight="1">
      <c r="A8" s="1055" t="s">
        <v>8</v>
      </c>
      <c r="B8" s="1056" t="s">
        <v>3298</v>
      </c>
      <c r="C8" s="1052">
        <f>Orçamento!Q30</f>
        <v>252136.63</v>
      </c>
      <c r="D8" s="1057">
        <f>C8/C39</f>
        <v>8.1880449302547315E-2</v>
      </c>
      <c r="E8" s="1066"/>
      <c r="F8" s="1053"/>
      <c r="G8" s="1053"/>
      <c r="H8" s="1053"/>
      <c r="I8" s="1065">
        <f>C8/4</f>
        <v>63034.157500000001</v>
      </c>
      <c r="J8" s="1054"/>
      <c r="K8" s="1054"/>
      <c r="L8" s="1054"/>
      <c r="M8" s="1054"/>
      <c r="N8" s="1054"/>
      <c r="O8" s="1065">
        <f>C8/4</f>
        <v>63034.157500000001</v>
      </c>
      <c r="P8" s="1054"/>
      <c r="Q8" s="1054"/>
      <c r="R8" s="1054"/>
      <c r="S8" s="1054"/>
      <c r="T8" s="1054"/>
      <c r="U8" s="1065">
        <f>C8/4</f>
        <v>63034.157500000001</v>
      </c>
      <c r="V8" s="1054"/>
      <c r="W8" s="1054"/>
      <c r="X8" s="1054"/>
      <c r="Y8" s="1054"/>
      <c r="Z8" s="1054"/>
      <c r="AA8" s="1065">
        <f>C8/4</f>
        <v>63034.157500000001</v>
      </c>
      <c r="AB8" s="1054"/>
    </row>
    <row r="9" spans="1:28" ht="23.25" customHeight="1">
      <c r="A9" s="1055" t="s">
        <v>1538</v>
      </c>
      <c r="B9" s="1056" t="s">
        <v>3299</v>
      </c>
      <c r="C9" s="1052">
        <f>Orçamento!Q33</f>
        <v>4455.8</v>
      </c>
      <c r="D9" s="1057">
        <f>C9/C39</f>
        <v>1.4470047688124107E-3</v>
      </c>
      <c r="F9" s="1053"/>
      <c r="G9" s="1053"/>
      <c r="H9" s="1053"/>
      <c r="I9" s="1065">
        <f>C9</f>
        <v>4455.8</v>
      </c>
      <c r="J9" s="1054"/>
      <c r="K9" s="1054"/>
      <c r="L9" s="1054"/>
      <c r="M9" s="1054"/>
      <c r="N9" s="1054"/>
      <c r="O9" s="1054"/>
      <c r="P9" s="1054"/>
      <c r="Q9" s="1054"/>
      <c r="R9" s="1054"/>
      <c r="S9" s="1058"/>
      <c r="T9" s="1054"/>
      <c r="U9" s="1054"/>
      <c r="V9" s="1054"/>
      <c r="W9" s="1054"/>
      <c r="X9" s="1054"/>
      <c r="Y9" s="1054"/>
      <c r="Z9" s="1054"/>
      <c r="AA9" s="1054"/>
      <c r="AB9" s="1054"/>
    </row>
    <row r="10" spans="1:28" ht="26.25" customHeight="1">
      <c r="A10" s="1051" t="s">
        <v>25</v>
      </c>
      <c r="B10" s="1049" t="s">
        <v>1125</v>
      </c>
      <c r="C10" s="1052"/>
      <c r="D10" s="1057">
        <f>C10/C39</f>
        <v>0</v>
      </c>
      <c r="E10" s="1058"/>
      <c r="F10" s="1053"/>
      <c r="G10" s="1053"/>
      <c r="H10" s="1053"/>
      <c r="I10" s="1053"/>
      <c r="J10" s="1054"/>
      <c r="K10" s="1054"/>
      <c r="L10" s="1054"/>
      <c r="M10" s="1054"/>
      <c r="N10" s="1054"/>
      <c r="O10" s="1054"/>
      <c r="P10" s="1054"/>
      <c r="Q10" s="1054"/>
      <c r="R10" s="1054"/>
      <c r="S10" s="1054"/>
      <c r="T10" s="1054"/>
      <c r="U10" s="1054"/>
      <c r="V10" s="1054"/>
      <c r="W10" s="1054"/>
      <c r="X10" s="1054"/>
      <c r="Y10" s="1054"/>
      <c r="Z10" s="1054"/>
      <c r="AA10" s="1054"/>
      <c r="AB10" s="1054"/>
    </row>
    <row r="11" spans="1:28" ht="23.25" customHeight="1">
      <c r="A11" s="1055" t="s">
        <v>14</v>
      </c>
      <c r="B11" s="1056" t="s">
        <v>3300</v>
      </c>
      <c r="C11" s="1052">
        <f>Orçamento!Q39</f>
        <v>12356.65</v>
      </c>
      <c r="D11" s="1057">
        <f>C11/C39</f>
        <v>4.0127769371484075E-3</v>
      </c>
      <c r="E11" s="1054"/>
      <c r="F11" s="1059"/>
      <c r="G11" s="1058"/>
      <c r="H11" s="1053"/>
      <c r="I11" s="1065">
        <f>C11</f>
        <v>12356.65</v>
      </c>
      <c r="J11" s="1054"/>
      <c r="K11" s="1058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8"/>
      <c r="X11" s="1054"/>
      <c r="Y11" s="1054"/>
      <c r="Z11" s="1054"/>
      <c r="AA11" s="1054"/>
      <c r="AB11" s="1054"/>
    </row>
    <row r="12" spans="1:28" ht="23.25" customHeight="1">
      <c r="A12" s="1055" t="s">
        <v>15</v>
      </c>
      <c r="B12" s="1056" t="s">
        <v>3301</v>
      </c>
      <c r="C12" s="1052">
        <f>Orçamento!Q44</f>
        <v>2849.79</v>
      </c>
      <c r="D12" s="1057">
        <f>C12/C39</f>
        <v>9.2545888956279895E-4</v>
      </c>
      <c r="E12" s="1054"/>
      <c r="F12" s="1059"/>
      <c r="G12" s="1060"/>
      <c r="H12" s="1053"/>
      <c r="I12" s="1065">
        <f>C12</f>
        <v>2849.79</v>
      </c>
      <c r="J12" s="1054"/>
      <c r="K12" s="1054"/>
      <c r="L12" s="1054"/>
      <c r="M12" s="1054"/>
      <c r="N12" s="1054"/>
      <c r="O12" s="1054"/>
      <c r="P12" s="1054"/>
      <c r="Q12" s="1054"/>
      <c r="R12" s="1054"/>
      <c r="S12" s="1054"/>
      <c r="T12" s="1054"/>
      <c r="U12" s="1054"/>
      <c r="V12" s="1054"/>
      <c r="W12" s="1054"/>
      <c r="X12" s="1054"/>
      <c r="Y12" s="1054"/>
      <c r="Z12" s="1054"/>
      <c r="AA12" s="1054"/>
      <c r="AB12" s="1054"/>
    </row>
    <row r="13" spans="1:28" ht="23.25" customHeight="1">
      <c r="A13" s="1055" t="s">
        <v>1540</v>
      </c>
      <c r="B13" s="1056" t="s">
        <v>3302</v>
      </c>
      <c r="C13" s="1052">
        <f>Orçamento!Q51</f>
        <v>23500.44</v>
      </c>
      <c r="D13" s="1057">
        <f>C13/C39</f>
        <v>7.6316820210040682E-3</v>
      </c>
      <c r="E13" s="1058"/>
      <c r="F13" s="1059"/>
      <c r="G13" s="1058"/>
      <c r="H13" s="1053"/>
      <c r="I13" s="1065">
        <f>C13</f>
        <v>23500.44</v>
      </c>
      <c r="J13" s="1054"/>
      <c r="K13" s="1058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</row>
    <row r="14" spans="1:28" ht="23.25" customHeight="1">
      <c r="A14" s="1055" t="s">
        <v>1950</v>
      </c>
      <c r="B14" s="1056" t="s">
        <v>3303</v>
      </c>
      <c r="C14" s="1052">
        <f>Orçamento!Q63</f>
        <v>29062.32</v>
      </c>
      <c r="D14" s="1057">
        <f>C14/C39</f>
        <v>9.4378822282760212E-3</v>
      </c>
      <c r="E14" s="1053"/>
      <c r="F14" s="1053"/>
      <c r="G14" s="1053"/>
      <c r="H14" s="1053"/>
      <c r="I14" s="1067">
        <f>C14</f>
        <v>29062.32</v>
      </c>
      <c r="J14" s="1054"/>
      <c r="K14" s="1058"/>
      <c r="L14" s="1054"/>
      <c r="M14" s="1058"/>
      <c r="N14" s="1054"/>
      <c r="O14" s="1054"/>
      <c r="P14" s="1054"/>
      <c r="Q14" s="1054"/>
      <c r="R14" s="1054"/>
      <c r="S14" s="1054"/>
      <c r="T14" s="1054"/>
      <c r="U14" s="1054"/>
      <c r="V14" s="1054"/>
      <c r="W14" s="1054"/>
      <c r="X14" s="1054"/>
      <c r="Y14" s="1054"/>
      <c r="Z14" s="1054"/>
      <c r="AA14" s="1054"/>
      <c r="AB14" s="1054"/>
    </row>
    <row r="15" spans="1:28" ht="26.25" customHeight="1">
      <c r="A15" s="1051" t="s">
        <v>26</v>
      </c>
      <c r="B15" s="1049" t="s">
        <v>1131</v>
      </c>
      <c r="C15" s="1052">
        <f>Orçamento!Q69</f>
        <v>80105.27</v>
      </c>
      <c r="D15" s="1057">
        <f>C15/C39</f>
        <v>2.6013893733337613E-2</v>
      </c>
      <c r="E15" s="1053"/>
      <c r="F15" s="1053"/>
      <c r="G15" s="1058"/>
      <c r="H15" s="1058"/>
      <c r="I15" s="1058"/>
      <c r="J15" s="1054"/>
      <c r="K15" s="1058"/>
      <c r="L15" s="1054"/>
      <c r="M15" s="1058"/>
      <c r="N15" s="1054"/>
      <c r="O15" s="1065">
        <f>C15</f>
        <v>80105.27</v>
      </c>
      <c r="P15" s="1054"/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</row>
    <row r="16" spans="1:28" ht="33" customHeight="1">
      <c r="A16" s="1051" t="s">
        <v>27</v>
      </c>
      <c r="B16" s="1049" t="s">
        <v>2481</v>
      </c>
      <c r="C16" s="1052"/>
      <c r="D16" s="1057">
        <f>C16/C39</f>
        <v>0</v>
      </c>
      <c r="E16" s="1053"/>
      <c r="F16" s="1053"/>
      <c r="G16" s="1053"/>
      <c r="H16" s="1053"/>
      <c r="I16" s="1053"/>
      <c r="J16" s="1054"/>
      <c r="K16" s="1054"/>
      <c r="L16" s="1054"/>
      <c r="M16" s="1054"/>
      <c r="N16" s="1054"/>
      <c r="O16" s="1054"/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/>
    </row>
    <row r="17" spans="1:28" ht="33" customHeight="1">
      <c r="A17" s="1055" t="s">
        <v>10</v>
      </c>
      <c r="B17" s="1056" t="s">
        <v>3304</v>
      </c>
      <c r="C17" s="1052">
        <f>Orçamento!Q75</f>
        <v>56925.87</v>
      </c>
      <c r="D17" s="1057">
        <f>C17/C39</f>
        <v>1.8486468279275404E-2</v>
      </c>
      <c r="E17" s="1053"/>
      <c r="F17" s="1053"/>
      <c r="G17" s="1053"/>
      <c r="H17" s="1053"/>
      <c r="I17" s="1053"/>
      <c r="J17" s="1054"/>
      <c r="K17" s="1058"/>
      <c r="L17" s="1054"/>
      <c r="M17" s="1058"/>
      <c r="N17" s="1054"/>
      <c r="O17" s="1065">
        <f>C17/11*4</f>
        <v>20700.316363636364</v>
      </c>
      <c r="P17" s="1054"/>
      <c r="Q17" s="1054"/>
      <c r="R17" s="1054"/>
      <c r="S17" s="1054"/>
      <c r="T17" s="1054"/>
      <c r="U17" s="1065">
        <f>C17/11*7</f>
        <v>36225.553636363635</v>
      </c>
      <c r="V17" s="1054"/>
      <c r="W17" s="1054"/>
      <c r="X17" s="1054"/>
      <c r="Y17" s="1054"/>
      <c r="Z17" s="1054"/>
      <c r="AA17" s="1054"/>
      <c r="AB17" s="1054"/>
    </row>
    <row r="18" spans="1:28" ht="23.25" customHeight="1">
      <c r="A18" s="1055" t="s">
        <v>1136</v>
      </c>
      <c r="B18" s="1056" t="s">
        <v>3305</v>
      </c>
      <c r="C18" s="1052">
        <f>Orçamento!Q78</f>
        <v>22752.45</v>
      </c>
      <c r="D18" s="1057">
        <f>C18/C39</f>
        <v>7.3887750016082259E-3</v>
      </c>
      <c r="E18" s="1053"/>
      <c r="F18" s="1053"/>
      <c r="G18" s="1053"/>
      <c r="H18" s="1053"/>
      <c r="I18" s="1065">
        <f>C18/11</f>
        <v>2068.4045454545453</v>
      </c>
      <c r="J18" s="1054"/>
      <c r="K18" s="1058"/>
      <c r="L18" s="1054"/>
      <c r="M18" s="1058"/>
      <c r="N18" s="1054"/>
      <c r="O18" s="1065">
        <f>C18/11*7</f>
        <v>14478.831818181818</v>
      </c>
      <c r="P18" s="1054"/>
      <c r="Q18" s="1058"/>
      <c r="R18" s="1054"/>
      <c r="S18" s="1054"/>
      <c r="T18" s="1054"/>
      <c r="U18" s="1065">
        <f>C18/11*3</f>
        <v>6205.2136363636364</v>
      </c>
      <c r="V18" s="1054"/>
      <c r="W18" s="1054"/>
      <c r="X18" s="1054"/>
      <c r="Y18" s="1054"/>
      <c r="Z18" s="1054"/>
      <c r="AA18" s="1054"/>
      <c r="AB18" s="1054"/>
    </row>
    <row r="19" spans="1:28" ht="23.25" customHeight="1">
      <c r="A19" s="1055" t="s">
        <v>1138</v>
      </c>
      <c r="B19" s="1056" t="s">
        <v>3306</v>
      </c>
      <c r="C19" s="1052">
        <f>Orçamento!Q81</f>
        <v>5020.01</v>
      </c>
      <c r="D19" s="1057">
        <f>C19/C39</f>
        <v>1.6302299047277684E-3</v>
      </c>
      <c r="E19" s="1053"/>
      <c r="F19" s="1053"/>
      <c r="G19" s="1053"/>
      <c r="H19" s="1053"/>
      <c r="I19" s="1053"/>
      <c r="J19" s="1054"/>
      <c r="K19" s="1054"/>
      <c r="L19" s="1054"/>
      <c r="M19" s="1054"/>
      <c r="N19" s="1054"/>
      <c r="O19" s="1065">
        <f>C19</f>
        <v>5020.01</v>
      </c>
      <c r="P19" s="1054"/>
      <c r="Q19" s="1058"/>
      <c r="R19" s="1054"/>
      <c r="S19" s="1058"/>
      <c r="T19" s="1054"/>
      <c r="V19" s="1054"/>
      <c r="W19" s="1054"/>
      <c r="X19" s="1054"/>
      <c r="Y19" s="1054"/>
      <c r="Z19" s="1054"/>
      <c r="AA19" s="1054"/>
      <c r="AB19" s="1054"/>
    </row>
    <row r="20" spans="1:28" ht="26.25" customHeight="1">
      <c r="A20" s="1051" t="s">
        <v>28</v>
      </c>
      <c r="B20" s="1049" t="s">
        <v>1140</v>
      </c>
      <c r="C20" s="1052">
        <f>Orçamento!Q93</f>
        <v>768164.7699999999</v>
      </c>
      <c r="D20" s="1057">
        <f>C20/C39</f>
        <v>0.24945870223611663</v>
      </c>
      <c r="E20" s="1053"/>
      <c r="F20" s="1053"/>
      <c r="G20" s="1053"/>
      <c r="H20" s="1053"/>
      <c r="I20" s="1065">
        <f>C20/11*2</f>
        <v>139666.32181818181</v>
      </c>
      <c r="J20" s="1054"/>
      <c r="K20" s="1058"/>
      <c r="L20" s="1054"/>
      <c r="M20" s="1058"/>
      <c r="N20" s="1054"/>
      <c r="O20" s="1065">
        <f>C20/11*4</f>
        <v>279332.64363636362</v>
      </c>
      <c r="P20" s="1054"/>
      <c r="Q20" s="1058"/>
      <c r="R20" s="1054"/>
      <c r="S20" s="1058"/>
      <c r="T20" s="1054"/>
      <c r="U20" s="1065">
        <f>C20/11*2</f>
        <v>139666.32181818181</v>
      </c>
      <c r="V20" s="1054"/>
      <c r="W20" s="1054"/>
      <c r="X20" s="1054"/>
      <c r="Y20" s="1054"/>
      <c r="Z20" s="1054"/>
      <c r="AA20" s="1065">
        <f>C20/11*3</f>
        <v>209499.48272727273</v>
      </c>
      <c r="AB20" s="1054"/>
    </row>
    <row r="21" spans="1:28" ht="26.25" customHeight="1">
      <c r="A21" s="1051" t="s">
        <v>29</v>
      </c>
      <c r="B21" s="1049" t="s">
        <v>2149</v>
      </c>
      <c r="C21" s="1052"/>
      <c r="D21" s="1057">
        <f>C21/C39</f>
        <v>0</v>
      </c>
      <c r="E21" s="1053"/>
      <c r="F21" s="1053"/>
      <c r="G21" s="1053"/>
      <c r="H21" s="1053"/>
      <c r="I21" s="1053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</row>
    <row r="22" spans="1:28" ht="23.25" customHeight="1">
      <c r="A22" s="1055" t="s">
        <v>2143</v>
      </c>
      <c r="B22" s="1056" t="s">
        <v>3307</v>
      </c>
      <c r="C22" s="1052">
        <f>Orçamento!Q99</f>
        <v>38714.550000000003</v>
      </c>
      <c r="D22" s="1057">
        <f>C22/C39</f>
        <v>1.2572408652189622E-2</v>
      </c>
      <c r="E22" s="1053"/>
      <c r="F22" s="1053"/>
      <c r="G22" s="1053"/>
      <c r="H22" s="1053"/>
      <c r="I22" s="1053"/>
      <c r="J22" s="1054"/>
      <c r="K22" s="1054"/>
      <c r="L22" s="1054"/>
      <c r="M22" s="1054"/>
      <c r="N22" s="1054"/>
      <c r="O22" s="1058"/>
      <c r="P22" s="1054"/>
      <c r="Q22" s="1058"/>
      <c r="R22" s="1054"/>
      <c r="S22" s="1058"/>
      <c r="T22" s="1054"/>
      <c r="U22" s="1065">
        <f>C22</f>
        <v>38714.550000000003</v>
      </c>
      <c r="V22" s="1054"/>
      <c r="W22" s="1054"/>
      <c r="X22" s="1054"/>
      <c r="Y22" s="1054"/>
      <c r="Z22" s="1054"/>
      <c r="AA22" s="1054"/>
      <c r="AB22" s="1054"/>
    </row>
    <row r="23" spans="1:28" ht="23.25" customHeight="1">
      <c r="A23" s="1055" t="s">
        <v>2151</v>
      </c>
      <c r="B23" s="1056" t="s">
        <v>3308</v>
      </c>
      <c r="C23" s="1052">
        <f>Orçamento!Q103</f>
        <v>31659.440000000002</v>
      </c>
      <c r="D23" s="1057">
        <f>C23/C39</f>
        <v>1.0281287458577672E-2</v>
      </c>
      <c r="E23" s="1053"/>
      <c r="F23" s="1053"/>
      <c r="G23" s="1053"/>
      <c r="H23" s="1053"/>
      <c r="I23" s="1053"/>
      <c r="J23" s="1054"/>
      <c r="K23" s="1058"/>
      <c r="L23" s="1054"/>
      <c r="M23" s="1058"/>
      <c r="N23" s="1054"/>
      <c r="O23" s="1065">
        <f>C23</f>
        <v>31659.440000000002</v>
      </c>
      <c r="P23" s="1054"/>
      <c r="Q23" s="1054"/>
      <c r="R23" s="1054"/>
      <c r="S23" s="1058"/>
      <c r="T23" s="1054"/>
      <c r="U23" s="1054"/>
      <c r="V23" s="1054"/>
      <c r="W23" s="1054"/>
      <c r="X23" s="1054"/>
      <c r="Y23" s="1054"/>
      <c r="Z23" s="1054"/>
      <c r="AA23" s="1054"/>
      <c r="AB23" s="1054"/>
    </row>
    <row r="24" spans="1:28" ht="23.25" customHeight="1">
      <c r="A24" s="1051" t="s">
        <v>114</v>
      </c>
      <c r="B24" s="1049" t="s">
        <v>1511</v>
      </c>
      <c r="C24" s="1052">
        <f>Orçamento!Q114</f>
        <v>356141.66</v>
      </c>
      <c r="D24" s="1057">
        <f>C24/C39</f>
        <v>0.1156557027678011</v>
      </c>
      <c r="E24" s="1053"/>
      <c r="F24" s="1053"/>
      <c r="G24" s="1053"/>
      <c r="H24" s="1053"/>
      <c r="I24" s="1067">
        <f>C24/11*3</f>
        <v>97129.543636363625</v>
      </c>
      <c r="J24" s="1054"/>
      <c r="K24" s="1058"/>
      <c r="L24" s="1054"/>
      <c r="M24" s="1058"/>
      <c r="N24" s="1054"/>
      <c r="O24" s="1065">
        <f>C24/11*7</f>
        <v>226635.60181818181</v>
      </c>
      <c r="P24" s="1054"/>
      <c r="Q24" s="1058"/>
      <c r="R24" s="1054"/>
      <c r="S24" s="1058"/>
      <c r="T24" s="1054"/>
      <c r="U24" s="1065">
        <f>C24/11</f>
        <v>32376.514545454542</v>
      </c>
      <c r="V24" s="1054"/>
      <c r="W24" s="1054"/>
      <c r="X24" s="1054"/>
      <c r="Y24" s="1054"/>
      <c r="Z24" s="1054"/>
      <c r="AA24" s="1054"/>
      <c r="AB24" s="1054"/>
    </row>
    <row r="25" spans="1:28" ht="26.25" customHeight="1">
      <c r="A25" s="1051" t="s">
        <v>985</v>
      </c>
      <c r="B25" s="1049" t="s">
        <v>1151</v>
      </c>
      <c r="C25" s="1052"/>
      <c r="D25" s="1057">
        <f>C25/C39</f>
        <v>0</v>
      </c>
      <c r="E25" s="1053"/>
      <c r="F25" s="1053"/>
      <c r="G25" s="1053"/>
      <c r="H25" s="1053"/>
      <c r="I25" s="1053"/>
      <c r="J25" s="1054"/>
      <c r="K25" s="1054"/>
      <c r="L25" s="1054"/>
      <c r="M25" s="1054"/>
      <c r="N25" s="1054"/>
      <c r="O25" s="1054"/>
      <c r="P25" s="1054"/>
      <c r="Q25" s="1054"/>
      <c r="R25" s="1054"/>
      <c r="S25" s="1054"/>
      <c r="T25" s="1054"/>
      <c r="U25" s="1054"/>
      <c r="V25" s="1054"/>
      <c r="W25" s="1054"/>
      <c r="X25" s="1054"/>
      <c r="Y25" s="1054"/>
      <c r="Z25" s="1054"/>
      <c r="AA25" s="1054"/>
      <c r="AB25" s="1054"/>
    </row>
    <row r="26" spans="1:28" ht="23.25" customHeight="1">
      <c r="A26" s="1055" t="s">
        <v>986</v>
      </c>
      <c r="B26" s="1056" t="s">
        <v>3309</v>
      </c>
      <c r="C26" s="1052">
        <f>Orçamento!Q191</f>
        <v>420382.14999999985</v>
      </c>
      <c r="D26" s="1057">
        <f>C26/C39</f>
        <v>0.13651756716495667</v>
      </c>
      <c r="E26" s="1053"/>
      <c r="F26" s="1053"/>
      <c r="G26" s="1053"/>
      <c r="H26" s="1053"/>
      <c r="I26" s="1065">
        <f>C26/11*2</f>
        <v>76433.11818181815</v>
      </c>
      <c r="J26" s="1054"/>
      <c r="K26" s="1054"/>
      <c r="L26" s="1054"/>
      <c r="M26" s="1054"/>
      <c r="N26" s="1054"/>
      <c r="O26" s="1065">
        <f>C26/11*4</f>
        <v>152866.2363636363</v>
      </c>
      <c r="P26" s="1054"/>
      <c r="Q26" s="1058"/>
      <c r="R26" s="1054"/>
      <c r="S26" s="1058"/>
      <c r="T26" s="1054"/>
      <c r="U26" s="1065">
        <f>C26/11*5</f>
        <v>191082.79545454538</v>
      </c>
      <c r="V26" s="1054"/>
      <c r="W26" s="1058"/>
      <c r="X26" s="1054"/>
      <c r="Y26" s="1058"/>
      <c r="Z26" s="1054"/>
      <c r="AA26" s="1054"/>
      <c r="AB26" s="1054"/>
    </row>
    <row r="27" spans="1:28" ht="23.25" customHeight="1">
      <c r="A27" s="1055" t="s">
        <v>987</v>
      </c>
      <c r="B27" s="1056" t="s">
        <v>3310</v>
      </c>
      <c r="C27" s="1052">
        <f>Orçamento!Q207</f>
        <v>23638.39</v>
      </c>
      <c r="D27" s="1057">
        <f>C27/C39</f>
        <v>7.6764807794442299E-3</v>
      </c>
      <c r="E27" s="1053"/>
      <c r="F27" s="1053"/>
      <c r="G27" s="1053"/>
      <c r="H27" s="1053"/>
      <c r="I27" s="1053"/>
      <c r="J27" s="1054"/>
      <c r="K27" s="1054"/>
      <c r="L27" s="1054"/>
      <c r="M27" s="1058"/>
      <c r="N27" s="1054"/>
      <c r="O27" s="1065">
        <f>C27</f>
        <v>23638.39</v>
      </c>
      <c r="P27" s="1054"/>
      <c r="Q27" s="1058"/>
      <c r="R27" s="1054"/>
      <c r="S27" s="1058"/>
      <c r="T27" s="1054"/>
      <c r="U27" s="1054"/>
      <c r="V27" s="1054"/>
      <c r="W27" s="1054"/>
      <c r="X27" s="1054"/>
      <c r="Y27" s="1054"/>
      <c r="Z27" s="1054"/>
      <c r="AA27" s="1054"/>
      <c r="AB27" s="1054"/>
    </row>
    <row r="28" spans="1:28" ht="23.25" customHeight="1">
      <c r="A28" s="1055" t="s">
        <v>1159</v>
      </c>
      <c r="B28" s="1056" t="s">
        <v>3311</v>
      </c>
      <c r="C28" s="1052">
        <f>Orçamento!Q233</f>
        <v>69278.350000000006</v>
      </c>
      <c r="D28" s="1057">
        <f>C28/C39</f>
        <v>2.2497891024160707E-2</v>
      </c>
      <c r="E28" s="1053"/>
      <c r="F28" s="1053"/>
      <c r="G28" s="1053"/>
      <c r="H28" s="1053"/>
      <c r="I28" s="1065">
        <v>36749.279999999999</v>
      </c>
      <c r="J28" s="1054"/>
      <c r="K28" s="1054"/>
      <c r="L28" s="1054"/>
      <c r="M28" s="1058"/>
      <c r="N28" s="1054"/>
      <c r="O28" s="1065">
        <f>C28-I28</f>
        <v>32529.070000000007</v>
      </c>
      <c r="P28" s="1054"/>
      <c r="Q28" s="1058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</row>
    <row r="29" spans="1:28" ht="23.25" customHeight="1">
      <c r="A29" s="1055" t="s">
        <v>1171</v>
      </c>
      <c r="B29" s="1056" t="s">
        <v>3312</v>
      </c>
      <c r="C29" s="1052">
        <f>Orçamento!Q255</f>
        <v>238020.28</v>
      </c>
      <c r="D29" s="1057">
        <f>C29/C39</f>
        <v>7.7296216220222008E-2</v>
      </c>
      <c r="E29" s="1053"/>
      <c r="F29" s="1053"/>
      <c r="G29" s="1053"/>
      <c r="H29" s="1053"/>
      <c r="I29" s="1066"/>
      <c r="J29" s="1054"/>
      <c r="K29" s="1054"/>
      <c r="L29" s="1054"/>
      <c r="M29" s="1054"/>
      <c r="N29" s="1054"/>
      <c r="O29" s="1065">
        <f>C29/11*7</f>
        <v>151467.4509090909</v>
      </c>
      <c r="P29" s="1054"/>
      <c r="Q29" s="1058"/>
      <c r="R29" s="1054"/>
      <c r="S29" s="1058"/>
      <c r="T29" s="1054"/>
      <c r="U29" s="1065">
        <f>C29/11*4</f>
        <v>86552.829090909087</v>
      </c>
      <c r="V29" s="1054"/>
      <c r="W29" s="1058"/>
      <c r="X29" s="1054"/>
      <c r="Y29" s="1054"/>
      <c r="Z29" s="1054"/>
      <c r="AA29" s="1054"/>
      <c r="AB29" s="1054"/>
    </row>
    <row r="30" spans="1:28" ht="23.25" customHeight="1">
      <c r="A30" s="1055" t="s">
        <v>1176</v>
      </c>
      <c r="B30" s="1056" t="s">
        <v>3314</v>
      </c>
      <c r="C30" s="1052">
        <f>Orçamento!Q292</f>
        <v>81897.039999999994</v>
      </c>
      <c r="D30" s="1057">
        <f>C30/C39</f>
        <v>2.6595764493832923E-2</v>
      </c>
      <c r="E30" s="1053"/>
      <c r="F30" s="1053"/>
      <c r="G30" s="1053"/>
      <c r="H30" s="1053"/>
      <c r="I30" s="1053"/>
      <c r="J30" s="1054"/>
      <c r="K30" s="1054"/>
      <c r="L30" s="1054"/>
      <c r="M30" s="1054"/>
      <c r="N30" s="1054"/>
      <c r="O30" s="1065">
        <f>C30</f>
        <v>81897.039999999994</v>
      </c>
      <c r="P30" s="1054"/>
      <c r="Q30" s="1058"/>
      <c r="R30" s="1054"/>
      <c r="S30" s="1058"/>
      <c r="T30" s="1054"/>
      <c r="U30" s="1058"/>
      <c r="V30" s="1054"/>
      <c r="W30" s="1054"/>
      <c r="X30" s="1054"/>
      <c r="Y30" s="1054"/>
      <c r="Z30" s="1054"/>
      <c r="AA30" s="1054"/>
      <c r="AB30" s="1054"/>
    </row>
    <row r="31" spans="1:28" ht="23.25" customHeight="1">
      <c r="A31" s="1055" t="s">
        <v>3313</v>
      </c>
      <c r="B31" s="1056" t="s">
        <v>1184</v>
      </c>
      <c r="C31" s="1052">
        <f>Orçamento!Q295</f>
        <v>2553.42</v>
      </c>
      <c r="D31" s="1057">
        <f>C31/C39</f>
        <v>8.2921381497845189E-4</v>
      </c>
      <c r="E31" s="1053"/>
      <c r="F31" s="1053"/>
      <c r="G31" s="1053"/>
      <c r="H31" s="1053"/>
      <c r="I31" s="1053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65">
        <f>C31</f>
        <v>2553.42</v>
      </c>
      <c r="V31" s="1054"/>
      <c r="W31" s="1054"/>
      <c r="X31" s="1054"/>
      <c r="Y31" s="1058"/>
      <c r="Z31" s="1054"/>
      <c r="AA31" s="1054"/>
      <c r="AB31" s="1054"/>
    </row>
    <row r="32" spans="1:28" ht="23.25" customHeight="1">
      <c r="A32" s="1055" t="s">
        <v>1183</v>
      </c>
      <c r="B32" s="1056" t="s">
        <v>3315</v>
      </c>
      <c r="C32" s="1052">
        <f>Orçamento!Q314</f>
        <v>54803.530000000006</v>
      </c>
      <c r="D32" s="1057">
        <f>C32/C39</f>
        <v>1.7797246119160202E-2</v>
      </c>
      <c r="E32" s="1053"/>
      <c r="F32" s="1053"/>
      <c r="G32" s="1053"/>
      <c r="H32" s="1053"/>
      <c r="I32" s="1053"/>
      <c r="J32" s="1054"/>
      <c r="K32" s="1054"/>
      <c r="L32" s="1054"/>
      <c r="M32" s="1054"/>
      <c r="N32" s="1054"/>
      <c r="O32" s="1065">
        <f>C32*0.3</f>
        <v>16441.059000000001</v>
      </c>
      <c r="P32" s="1054"/>
      <c r="Q32" s="1058"/>
      <c r="R32" s="1054"/>
      <c r="S32" s="1058"/>
      <c r="T32" s="1054"/>
      <c r="U32" s="1065">
        <f>C32*0.7</f>
        <v>38362.471000000005</v>
      </c>
      <c r="V32" s="1054"/>
      <c r="W32" s="1058"/>
      <c r="X32" s="1054"/>
      <c r="Y32" s="1054"/>
      <c r="Z32" s="1054"/>
      <c r="AA32" s="1054"/>
      <c r="AB32" s="1054"/>
    </row>
    <row r="33" spans="1:28" ht="26.25" customHeight="1">
      <c r="A33" s="1051" t="s">
        <v>1187</v>
      </c>
      <c r="B33" s="1049" t="s">
        <v>1188</v>
      </c>
      <c r="C33" s="1052"/>
      <c r="D33" s="1057">
        <f>C33/C39</f>
        <v>0</v>
      </c>
      <c r="E33" s="1053"/>
      <c r="F33" s="1053"/>
      <c r="G33" s="1053"/>
      <c r="H33" s="1053"/>
      <c r="I33" s="1053"/>
      <c r="J33" s="1054"/>
      <c r="K33" s="1054"/>
      <c r="L33" s="1054"/>
      <c r="M33" s="1054"/>
      <c r="N33" s="1054"/>
      <c r="O33" s="1054"/>
      <c r="P33" s="1054"/>
      <c r="Q33" s="1054"/>
      <c r="R33" s="1054"/>
      <c r="S33" s="1054"/>
      <c r="T33" s="1054"/>
      <c r="U33" s="1054"/>
      <c r="V33" s="1054"/>
      <c r="W33" s="1054"/>
      <c r="X33" s="1054"/>
      <c r="Y33" s="1054"/>
      <c r="Z33" s="1054"/>
      <c r="AA33" s="1054"/>
      <c r="AB33" s="1054"/>
    </row>
    <row r="34" spans="1:28" ht="23.25" customHeight="1">
      <c r="A34" s="1055" t="s">
        <v>1189</v>
      </c>
      <c r="B34" s="1056" t="s">
        <v>3316</v>
      </c>
      <c r="C34" s="1052">
        <f>Orçamento!Q331</f>
        <v>96703.25</v>
      </c>
      <c r="D34" s="1057">
        <f>C34/C39</f>
        <v>3.1404027090457101E-2</v>
      </c>
      <c r="E34" s="1053"/>
      <c r="F34" s="1053"/>
      <c r="G34" s="1053"/>
      <c r="H34" s="1053"/>
      <c r="I34" s="1052"/>
      <c r="J34" s="1054"/>
      <c r="K34" s="1054"/>
      <c r="L34" s="1054"/>
      <c r="M34" s="1054"/>
      <c r="N34" s="1054"/>
      <c r="O34" s="1065">
        <f>C34</f>
        <v>96703.25</v>
      </c>
      <c r="P34" s="1054"/>
      <c r="Q34" s="1054"/>
      <c r="R34" s="1054"/>
      <c r="S34" s="1058"/>
      <c r="T34" s="1054"/>
      <c r="U34" s="1058"/>
      <c r="V34" s="1054"/>
      <c r="W34" s="1058"/>
      <c r="X34" s="1054"/>
      <c r="Y34" s="1058"/>
      <c r="Z34" s="1054"/>
      <c r="AA34" s="1054"/>
      <c r="AB34" s="1054"/>
    </row>
    <row r="35" spans="1:28" ht="23.25" customHeight="1">
      <c r="A35" s="1055" t="s">
        <v>1192</v>
      </c>
      <c r="B35" s="1056" t="s">
        <v>3317</v>
      </c>
      <c r="C35" s="1052">
        <f>Orçamento!Q340</f>
        <v>14156.520000000002</v>
      </c>
      <c r="D35" s="1057">
        <f>C35/C39</f>
        <v>4.5972781430468762E-3</v>
      </c>
      <c r="E35" s="1053"/>
      <c r="F35" s="1053"/>
      <c r="G35" s="1060"/>
      <c r="H35" s="1059"/>
      <c r="I35" s="1065">
        <f>C35</f>
        <v>14156.520000000002</v>
      </c>
      <c r="J35" s="1054"/>
      <c r="K35" s="1054"/>
      <c r="L35" s="1054"/>
      <c r="M35" s="1054"/>
      <c r="N35" s="1054"/>
      <c r="O35" s="1054"/>
      <c r="P35" s="1054"/>
      <c r="Q35" s="1054"/>
      <c r="R35" s="1054"/>
      <c r="S35" s="1054"/>
      <c r="T35" s="1054"/>
      <c r="U35" s="1054"/>
      <c r="V35" s="1054"/>
      <c r="W35" s="1054"/>
      <c r="X35" s="1054"/>
      <c r="Y35" s="1054"/>
      <c r="Z35" s="1054"/>
      <c r="AA35" s="1054"/>
      <c r="AB35" s="1054"/>
    </row>
    <row r="36" spans="1:28" ht="23.25" customHeight="1">
      <c r="A36" s="1055" t="s">
        <v>1861</v>
      </c>
      <c r="B36" s="1056" t="s">
        <v>3318</v>
      </c>
      <c r="C36" s="1052">
        <f>Orçamento!Q346</f>
        <v>19931.03</v>
      </c>
      <c r="D36" s="1057">
        <f>C36/C39</f>
        <v>6.4725291658833924E-3</v>
      </c>
      <c r="E36" s="1053"/>
      <c r="F36" s="1053"/>
      <c r="G36" s="1060"/>
      <c r="H36" s="1059"/>
      <c r="I36" s="1065">
        <f>C36</f>
        <v>19931.03</v>
      </c>
      <c r="J36" s="1054"/>
      <c r="K36" s="1054"/>
      <c r="L36" s="1054"/>
      <c r="M36" s="1054"/>
      <c r="N36" s="1054"/>
      <c r="O36" s="1054"/>
      <c r="P36" s="1054"/>
      <c r="Q36" s="1054"/>
      <c r="R36" s="1054"/>
      <c r="S36" s="1054"/>
      <c r="T36" s="1054"/>
      <c r="U36" s="1054"/>
      <c r="V36" s="1054"/>
      <c r="W36" s="1054"/>
      <c r="X36" s="1054"/>
      <c r="Y36" s="1054"/>
      <c r="Z36" s="1054"/>
      <c r="AA36" s="1054"/>
      <c r="AB36" s="1054"/>
    </row>
    <row r="37" spans="1:28" ht="23.25" customHeight="1">
      <c r="A37" s="1055" t="s">
        <v>1888</v>
      </c>
      <c r="B37" s="1056" t="s">
        <v>3319</v>
      </c>
      <c r="C37" s="1052">
        <f>Orçamento!Q362</f>
        <v>305464.49</v>
      </c>
      <c r="D37" s="1057">
        <f>C37/C39</f>
        <v>9.9198476981204473E-2</v>
      </c>
      <c r="E37" s="1053"/>
      <c r="F37" s="1053"/>
      <c r="G37" s="1053"/>
      <c r="H37" s="1053"/>
      <c r="I37" s="1053"/>
      <c r="J37" s="1054"/>
      <c r="K37" s="1054"/>
      <c r="L37" s="1054"/>
      <c r="M37" s="1054"/>
      <c r="N37" s="1054"/>
      <c r="O37" s="1065">
        <f>C37</f>
        <v>305464.49</v>
      </c>
      <c r="P37" s="1054"/>
      <c r="Q37" s="1058"/>
      <c r="R37" s="1054"/>
      <c r="S37" s="1058"/>
      <c r="T37" s="1054"/>
      <c r="U37" s="1054"/>
      <c r="V37" s="1054"/>
      <c r="W37" s="1058"/>
      <c r="X37" s="1054"/>
      <c r="Y37" s="1058"/>
      <c r="Z37" s="1054"/>
      <c r="AA37" s="1054"/>
      <c r="AB37" s="1054"/>
    </row>
    <row r="38" spans="1:28" ht="23.25" customHeight="1">
      <c r="A38" s="1055" t="s">
        <v>1894</v>
      </c>
      <c r="B38" s="1056" t="s">
        <v>3320</v>
      </c>
      <c r="C38" s="1052">
        <f>Orçamento!Q365</f>
        <v>18015.64</v>
      </c>
      <c r="D38" s="1057">
        <f>C38/C39</f>
        <v>5.8505132620870811E-3</v>
      </c>
      <c r="E38" s="1053"/>
      <c r="F38" s="1053"/>
      <c r="G38" s="1053"/>
      <c r="H38" s="1053"/>
      <c r="I38" s="1053"/>
      <c r="J38" s="1054"/>
      <c r="K38" s="1054"/>
      <c r="L38" s="1054"/>
      <c r="M38" s="1054"/>
      <c r="N38" s="1054"/>
      <c r="O38" s="1054"/>
      <c r="P38" s="1054"/>
      <c r="Q38" s="1054"/>
      <c r="R38" s="1054"/>
      <c r="S38" s="1058"/>
      <c r="T38" s="1054"/>
      <c r="U38" s="1058"/>
      <c r="V38" s="1054"/>
      <c r="W38" s="1054"/>
      <c r="X38" s="1054"/>
      <c r="Y38" s="1058"/>
      <c r="Z38" s="1054"/>
      <c r="AA38" s="1065">
        <f>C38</f>
        <v>18015.64</v>
      </c>
      <c r="AB38" s="1054"/>
    </row>
    <row r="39" spans="1:28">
      <c r="C39" s="1061">
        <f>SUM(C6:C38)</f>
        <v>3079326.4099999997</v>
      </c>
      <c r="D39" s="1062">
        <f>SUM(D6:D38)</f>
        <v>1</v>
      </c>
    </row>
    <row r="40" spans="1:28" ht="21.75" customHeight="1">
      <c r="C40" s="1063">
        <f>SUM(E40:AB40)</f>
        <v>3079326.4099999997</v>
      </c>
      <c r="E40" s="1064">
        <f>SUM(E5:E39)</f>
        <v>0</v>
      </c>
      <c r="F40" s="1064"/>
      <c r="G40" s="1064">
        <f>SUM(G5:G38)</f>
        <v>0</v>
      </c>
      <c r="H40" s="1064"/>
      <c r="I40" s="1064">
        <f>SUM(I5:I38)</f>
        <v>559587.74068181822</v>
      </c>
      <c r="J40" s="1064"/>
      <c r="K40" s="1064">
        <f>SUM(K5:K38)</f>
        <v>0</v>
      </c>
      <c r="L40" s="1064"/>
      <c r="M40" s="1064">
        <f>SUM(M5:M38)</f>
        <v>0</v>
      </c>
      <c r="N40" s="1064"/>
      <c r="O40" s="1064">
        <f>SUM(O5:O38)</f>
        <v>1586120.6924090907</v>
      </c>
      <c r="P40" s="1064"/>
      <c r="Q40" s="1064">
        <f>SUM(Q5:Q38)</f>
        <v>0</v>
      </c>
      <c r="R40" s="1064"/>
      <c r="S40" s="1064">
        <f>SUM(S5:S38)</f>
        <v>0</v>
      </c>
      <c r="T40" s="1064"/>
      <c r="U40" s="1064">
        <f>SUM(U5:U38)</f>
        <v>638921.26168181817</v>
      </c>
      <c r="V40" s="1064"/>
      <c r="W40" s="1064">
        <f>SUM(W5:W38)</f>
        <v>0</v>
      </c>
      <c r="X40" s="1064"/>
      <c r="Y40" s="1064">
        <f>SUM(Y5:Y38)</f>
        <v>0</v>
      </c>
      <c r="Z40" s="1064"/>
      <c r="AA40" s="1064">
        <f>SUM(AA5:AA38)</f>
        <v>294696.71522727271</v>
      </c>
    </row>
    <row r="41" spans="1:28" ht="24" customHeight="1"/>
    <row r="42" spans="1:28">
      <c r="C42" s="1064">
        <f>C39-C40</f>
        <v>0</v>
      </c>
    </row>
  </sheetData>
  <mergeCells count="24">
    <mergeCell ref="AA3:AB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2:AB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honeticPr fontId="41" type="noConversion"/>
  <pageMargins left="0.84996062992125987" right="0.31496062992125984" top="0.39370078740157483" bottom="0.39370078740157483" header="0.31496062992125984" footer="0.31496062992125984"/>
  <pageSetup paperSize="9" scale="57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res</vt:lpstr>
      <vt:lpstr>Orçamento</vt:lpstr>
      <vt:lpstr>COMPOSIÇÕES</vt:lpstr>
      <vt:lpstr>COMP AUX</vt:lpstr>
      <vt:lpstr>Administração da Obra</vt:lpstr>
      <vt:lpstr>Cronograma</vt:lpstr>
      <vt:lpstr>'Administração da Obra'!Area_de_impressao</vt:lpstr>
      <vt:lpstr>'COMP AUX'!Area_de_impressao</vt:lpstr>
      <vt:lpstr>COMPOSIÇÕES!Area_de_impressao</vt:lpstr>
      <vt:lpstr>Cronograma!Area_de_impressao</vt:lpstr>
      <vt:lpstr>Orçamento!Area_de_impressao</vt:lpstr>
      <vt:lpstr>res!Area_de_impressao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Rangel</dc:creator>
  <cp:lastModifiedBy>Vanessa C. Saltore</cp:lastModifiedBy>
  <cp:lastPrinted>2020-09-21T15:14:32Z</cp:lastPrinted>
  <dcterms:created xsi:type="dcterms:W3CDTF">2013-08-05T14:14:34Z</dcterms:created>
  <dcterms:modified xsi:type="dcterms:W3CDTF">2020-09-21T15:22:30Z</dcterms:modified>
</cp:coreProperties>
</file>