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172.16.1.252\gin\1. PROJETOS\3. CAP\2022\20220401_ESCOLA E.F.II PACOTE A E B\DOCUMENTOS RC\"/>
    </mc:Choice>
  </mc:AlternateContent>
  <xr:revisionPtr revIDLastSave="0" documentId="13_ncr:1_{1E248D28-FB36-4DC5-8A61-1C0BE5A5C693}" xr6:coauthVersionLast="47" xr6:coauthVersionMax="47" xr10:uidLastSave="{00000000-0000-0000-0000-000000000000}"/>
  <bookViews>
    <workbookView xWindow="-108" yWindow="-108" windowWidth="23256" windowHeight="12576" activeTab="1" xr2:uid="{00000000-000D-0000-FFFF-FFFF00000000}"/>
  </bookViews>
  <sheets>
    <sheet name="Resumo" sheetId="11" r:id="rId1"/>
    <sheet name="Orçamento de Referencia " sheetId="13" r:id="rId2"/>
    <sheet name="Composição" sheetId="2" r:id="rId3"/>
    <sheet name="Cálculo BDI" sheetId="7" r:id="rId4"/>
    <sheet name="Cronograma " sheetId="14"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s>
  <definedNames>
    <definedName name="_xlnm._FilterDatabase" localSheetId="2" hidden="1">Composição!$B$2:$I$1718</definedName>
    <definedName name="_xlnm._FilterDatabase" localSheetId="4" hidden="1">#REF!</definedName>
    <definedName name="_xlnm._FilterDatabase" localSheetId="1" hidden="1">'Orçamento de Referencia '!$B$8:$I$269</definedName>
    <definedName name="_xlnm._FilterDatabase" localSheetId="0" hidden="1">#REF!</definedName>
    <definedName name="_xlnm._FilterDatabase" hidden="1">#REF!</definedName>
    <definedName name="_Order1" hidden="1">255</definedName>
    <definedName name="ADIC2" localSheetId="4">'[1]Fator K'!#REF!</definedName>
    <definedName name="ADIC2" localSheetId="0">'[1]Fator K'!#REF!</definedName>
    <definedName name="ADIC2">'[1]Fator K'!#REF!</definedName>
    <definedName name="AN" localSheetId="4">#REF!</definedName>
    <definedName name="AN" localSheetId="0">#REF!</definedName>
    <definedName name="AN">#REF!</definedName>
    <definedName name="ANEXRE" localSheetId="4">'[2]Adicional sobre Materiais'!#REF!</definedName>
    <definedName name="ANEXRE" localSheetId="0">'[2]Adicional sobre Materiais'!#REF!</definedName>
    <definedName name="ANEXRE">'[2]Adicional sobre Materiais'!#REF!</definedName>
    <definedName name="_xlnm.Print_Area" localSheetId="4">'Cronograma '!$C$2:$N$46</definedName>
    <definedName name="_xlnm.Print_Area">#REF!</definedName>
    <definedName name="_xlnm.Database" localSheetId="4">#REF!</definedName>
    <definedName name="_xlnm.Database" localSheetId="0">#REF!</definedName>
    <definedName name="_xlnm.Database">#REF!</definedName>
    <definedName name="BDI">[3]INVENTÁRIO!$B$3</definedName>
    <definedName name="BDI_3">[4]INVENTÁRIO!$B$3</definedName>
    <definedName name="BDI_4">[4]INVENTÁRIO!$B$3</definedName>
    <definedName name="BDI_5">[4]INVENTÁRIO!$B$3</definedName>
    <definedName name="BDI_6">[4]INVENTÁRIO!$B$3</definedName>
    <definedName name="bdiconst">'[2]Adicional sobre Materiais'!#REF!</definedName>
    <definedName name="bdiforn" localSheetId="4">#REF!</definedName>
    <definedName name="bdiforn" localSheetId="0">#REF!</definedName>
    <definedName name="bdiforn">#REF!</definedName>
    <definedName name="bdimo">'[5]Comp BDI'!$H$58</definedName>
    <definedName name="BR">[4]INVENTÁRIO!$B$14</definedName>
    <definedName name="CONV" localSheetId="4">#REF!</definedName>
    <definedName name="CONV" localSheetId="0">#REF!</definedName>
    <definedName name="CONV">#REF!</definedName>
    <definedName name="CONV1" localSheetId="4">#REF!</definedName>
    <definedName name="CONV1" localSheetId="0">#REF!</definedName>
    <definedName name="CONV1">#REF!</definedName>
    <definedName name="CONV2" localSheetId="4">#REF!</definedName>
    <definedName name="CONV2" localSheetId="0">#REF!</definedName>
    <definedName name="CONV2">#REF!</definedName>
    <definedName name="CP" localSheetId="4">#REF!</definedName>
    <definedName name="CP" localSheetId="0">#REF!</definedName>
    <definedName name="CP">#REF!</definedName>
    <definedName name="_xlnm.Criteria" localSheetId="4">#REF!</definedName>
    <definedName name="_xlnm.Criteria" localSheetId="0">#REF!</definedName>
    <definedName name="_xlnm.Criteria">#REF!</definedName>
    <definedName name="Cro" localSheetId="4">#REF!</definedName>
    <definedName name="Cro">#REF!</definedName>
    <definedName name="DCC_PAG01" localSheetId="4">#REF!</definedName>
    <definedName name="DCC_PAG01" localSheetId="0">#REF!</definedName>
    <definedName name="DCC_PAG01">#REF!</definedName>
    <definedName name="DCC_PAG02" localSheetId="4">#REF!</definedName>
    <definedName name="DCC_PAG02" localSheetId="0">#REF!</definedName>
    <definedName name="DCC_PAG02">#REF!</definedName>
    <definedName name="DCC_PAG03" localSheetId="4">#REF!</definedName>
    <definedName name="DCC_PAG03" localSheetId="0">#REF!</definedName>
    <definedName name="DCC_PAG03">#REF!</definedName>
    <definedName name="DGO_PAG01" localSheetId="4">#REF!</definedName>
    <definedName name="DGO_PAG01" localSheetId="0">#REF!</definedName>
    <definedName name="DGO_PAG01">#REF!</definedName>
    <definedName name="DGO_PAG02" localSheetId="4">#REF!</definedName>
    <definedName name="DGO_PAG02" localSheetId="0">#REF!</definedName>
    <definedName name="DGO_PAG02">#REF!</definedName>
    <definedName name="DGO_PAG03" localSheetId="4">#REF!</definedName>
    <definedName name="DGO_PAG03" localSheetId="0">#REF!</definedName>
    <definedName name="DGO_PAG03">#REF!</definedName>
    <definedName name="DIA">[4]INVENTÁRIO!$B$2</definedName>
    <definedName name="DIESEL">[3]INVENTÁRIO!$D$5</definedName>
    <definedName name="DIESEL_3">[4]INVENTÁRIO!$D$5</definedName>
    <definedName name="DIESEL_4">[4]INVENTÁRIO!$D$5</definedName>
    <definedName name="DIESEL_5">[4]INVENTÁRIO!$D$5</definedName>
    <definedName name="DIESEL_6">[4]INVENTÁRIO!$D$5</definedName>
    <definedName name="EEE">'[1]Anex V Plan. Equipam.'!#REF!</definedName>
    <definedName name="equip">'[6]INSUMOS PU'!$B$6:$B$62</definedName>
    <definedName name="Excel_BuiltIn_Print_Area_4" localSheetId="4">#REF!</definedName>
    <definedName name="Excel_BuiltIn_Print_Area_4" localSheetId="0">#REF!</definedName>
    <definedName name="Excel_BuiltIn_Print_Area_4">#REF!</definedName>
    <definedName name="EXT">[4]INVENTÁRIO!$D$22</definedName>
    <definedName name="FATOR_A">'[1]Fator K'!#REF!</definedName>
    <definedName name="FATOR_B">'[1]Fator K'!#REF!</definedName>
    <definedName name="FUNCAO_3_6">[7]BASE!#REF!</definedName>
    <definedName name="FUNCAO_7_6">[7]BASE!#REF!</definedName>
    <definedName name="FUNCAO_8_6">[7]BASE!#REF!</definedName>
    <definedName name="GASOL">[3]INVENTÁRIO!$D$6</definedName>
    <definedName name="GASOL_3">[4]INVENTÁRIO!$D$6</definedName>
    <definedName name="GASOL_4">[4]INVENTÁRIO!$D$6</definedName>
    <definedName name="GASOL_5">[4]INVENTÁRIO!$D$6</definedName>
    <definedName name="GASOL_6">[4]INVENTÁRIO!$D$6</definedName>
    <definedName name="HISTORICO">[8]HIST!$B$16:$AP$101</definedName>
    <definedName name="LDI" localSheetId="4">#REF!</definedName>
    <definedName name="LDI" localSheetId="0">#REF!</definedName>
    <definedName name="LDI">#REF!</definedName>
    <definedName name="MACEQUI" localSheetId="4">'[1]Anex V Plan. Equipam.'!#REF!</definedName>
    <definedName name="MACEQUI" localSheetId="0">'[1]Anex V Plan. Equipam.'!#REF!</definedName>
    <definedName name="MACEQUI">'[1]Anex V Plan. Equipam.'!#REF!</definedName>
    <definedName name="MACLIM" localSheetId="0">'[1]Anex. I Lim. Sup'!#REF!</definedName>
    <definedName name="MACLIM">'[1]Anex. I Lim. Sup'!#REF!</definedName>
    <definedName name="MACNIV" localSheetId="4">#REF!</definedName>
    <definedName name="MACNIV" localSheetId="0">#REF!</definedName>
    <definedName name="MACNIV">#REF!</definedName>
    <definedName name="MACVEQ" localSheetId="4">'[1]Anex V Plan. Equipam.'!#REF!</definedName>
    <definedName name="MACVEQ" localSheetId="0">'[1]Anex V Plan. Equipam.'!#REF!</definedName>
    <definedName name="MACVEQ">'[1]Anex V Plan. Equipam.'!#REF!</definedName>
    <definedName name="MACZEQ" localSheetId="0">'[1]Anex V Plan. Equipam.'!#REF!</definedName>
    <definedName name="MACZEQ">'[1]Anex V Plan. Equipam.'!#REF!</definedName>
    <definedName name="mataux">'[6]INSUMOS PU'!$B$124:$B$376</definedName>
    <definedName name="mod">'[6]INSUMOS PU'!$B$69:$B$119</definedName>
    <definedName name="MSICRO">[4]INVENTÁRIO!$B$1</definedName>
    <definedName name="NOMLIC">'[1]Fator K'!$B$8</definedName>
    <definedName name="PLAN" localSheetId="4">#REF!</definedName>
    <definedName name="PLAN" localSheetId="0">#REF!</definedName>
    <definedName name="PLAN">#REF!</definedName>
    <definedName name="PLANIV" localSheetId="4">#REF!</definedName>
    <definedName name="PLANIV" localSheetId="0">#REF!</definedName>
    <definedName name="PLANIV">#REF!</definedName>
    <definedName name="PLENSCO" localSheetId="4">'[1]Anex VIII Encargos Soc'!#REF!</definedName>
    <definedName name="PLENSCO" localSheetId="0">'[1]Anex VIII Encargos Soc'!#REF!</definedName>
    <definedName name="PLENSCO">'[1]Anex VIII Encargos Soc'!#REF!</definedName>
    <definedName name="QUANT" localSheetId="4">#REF!</definedName>
    <definedName name="QUANT" localSheetId="0">#REF!</definedName>
    <definedName name="QUANT">#REF!</definedName>
    <definedName name="REBOQUE">[4]COMPOSIÇÕES!$H$76</definedName>
    <definedName name="RELOBRAS" localSheetId="4">#REF!</definedName>
    <definedName name="RELOBRAS" localSheetId="0">#REF!</definedName>
    <definedName name="RELOBRAS">#REF!</definedName>
    <definedName name="Revisao">[9]CEMF!$G$19</definedName>
    <definedName name="SEG">[4]INVENTÁRIO!$B$21</definedName>
    <definedName name="SUBT">[4]INVENTÁRIO!$B$20</definedName>
    <definedName name="Tabelaa1">[10]Tabela!$F$5:$G$83</definedName>
    <definedName name="Tabelaa2">[10]Tabela!$B$5:$C$83</definedName>
    <definedName name="teste" localSheetId="4">#REF!</definedName>
    <definedName name="teste" localSheetId="0">#REF!</definedName>
    <definedName name="teste">#REF!</definedName>
    <definedName name="_xlnm.Print_Titles" localSheetId="1">'Orçamento de Referencia '!$5:$7</definedName>
    <definedName name="_xlnm.Print_Titles" localSheetId="0">Resumo!$2:$6</definedName>
    <definedName name="_xlnm.Print_Titles">#N/A</definedName>
    <definedName name="TOTAL" localSheetId="4">#REF!</definedName>
    <definedName name="TOTAL" localSheetId="0">#REF!</definedName>
    <definedName name="TOTAL">#REF!</definedName>
    <definedName name="transporte" localSheetId="4">#REF!</definedName>
    <definedName name="transporte" localSheetId="0">#REF!</definedName>
    <definedName name="transporte">#REF!</definedName>
    <definedName name="TREC">[4]INVENTÁRIO!$B$19</definedName>
    <definedName name="TSS" localSheetId="4">#REF!</definedName>
    <definedName name="TSS" localSheetId="0">#REF!</definedName>
    <definedName name="TSS">#REF!</definedName>
    <definedName name="UL">[4]INVENTÁRIO!$B$12</definedName>
    <definedName name="UNIT" localSheetId="4">#REF!</definedName>
    <definedName name="UNIT" localSheetId="0">#REF!</definedName>
    <definedName name="UNI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45" i="14" l="1"/>
  <c r="K45" i="14"/>
  <c r="M45" i="14"/>
  <c r="O45" i="14"/>
  <c r="Q45" i="14"/>
  <c r="S45" i="14"/>
  <c r="U45" i="14"/>
  <c r="W45" i="14"/>
  <c r="Y45" i="14"/>
  <c r="AA45" i="14"/>
  <c r="AC45" i="14"/>
  <c r="G45" i="14"/>
  <c r="I1726" i="2"/>
  <c r="I1724" i="2"/>
  <c r="I1727" i="2" s="1"/>
  <c r="AE5" i="14" l="1"/>
  <c r="AE8" i="14"/>
  <c r="AE11" i="14"/>
  <c r="AE14" i="14"/>
  <c r="AE17" i="14"/>
  <c r="AE20" i="14"/>
  <c r="AE23" i="14"/>
  <c r="AE26" i="14"/>
  <c r="AE29" i="14"/>
  <c r="AE32" i="14"/>
  <c r="AE35" i="14"/>
  <c r="AE38" i="14"/>
  <c r="AE41" i="14"/>
  <c r="F305" i="2" l="1"/>
  <c r="I305" i="2" s="1"/>
  <c r="F304" i="2"/>
  <c r="I304" i="2" s="1"/>
  <c r="I306" i="2" s="1"/>
  <c r="F296" i="2"/>
  <c r="I296" i="2" s="1"/>
  <c r="F295" i="2"/>
  <c r="I295" i="2" s="1"/>
  <c r="I297" i="2" s="1"/>
  <c r="F278" i="2"/>
  <c r="I278" i="2" s="1"/>
  <c r="F277" i="2"/>
  <c r="I277" i="2" s="1"/>
  <c r="F287" i="2"/>
  <c r="I287" i="2" s="1"/>
  <c r="F286" i="2"/>
  <c r="I286" i="2" s="1"/>
  <c r="F269" i="2"/>
  <c r="F268" i="2"/>
  <c r="I255" i="13"/>
  <c r="I288" i="2" l="1"/>
  <c r="I279" i="2"/>
  <c r="H78" i="13"/>
  <c r="I78" i="13" s="1"/>
  <c r="H80" i="13"/>
  <c r="I80" i="13" s="1"/>
  <c r="H79" i="13"/>
  <c r="I79" i="13" s="1"/>
  <c r="H77" i="13"/>
  <c r="I77" i="13" s="1"/>
  <c r="F1714" i="2"/>
  <c r="F1713" i="2"/>
  <c r="G1711" i="2"/>
  <c r="F1712" i="2"/>
  <c r="I1712" i="2" s="1"/>
  <c r="F1711" i="2"/>
  <c r="F1710" i="2"/>
  <c r="I1710" i="2" s="1"/>
  <c r="F1708" i="2"/>
  <c r="F1716" i="2"/>
  <c r="F1707" i="2"/>
  <c r="I1707" i="2" s="1"/>
  <c r="G241" i="13"/>
  <c r="I241" i="13" s="1"/>
  <c r="G1369" i="2"/>
  <c r="I1369" i="2" s="1"/>
  <c r="M1379" i="2"/>
  <c r="I244" i="13"/>
  <c r="I1711" i="2" l="1"/>
  <c r="I1716" i="2"/>
  <c r="I1708" i="2"/>
  <c r="G265" i="13"/>
  <c r="I259" i="13"/>
  <c r="I260" i="13"/>
  <c r="I261" i="13"/>
  <c r="I257" i="13"/>
  <c r="I253" i="13" s="1"/>
  <c r="G249" i="13"/>
  <c r="I236" i="13"/>
  <c r="I237" i="13"/>
  <c r="I238" i="13"/>
  <c r="I243" i="13"/>
  <c r="I230" i="13"/>
  <c r="I212" i="13"/>
  <c r="I214" i="13"/>
  <c r="I215" i="13"/>
  <c r="I180" i="13"/>
  <c r="I181" i="13"/>
  <c r="I182" i="13"/>
  <c r="I184" i="13"/>
  <c r="I178" i="13"/>
  <c r="I153" i="13"/>
  <c r="I154" i="13"/>
  <c r="I156" i="13"/>
  <c r="I157" i="13"/>
  <c r="I160" i="13"/>
  <c r="I113" i="13"/>
  <c r="I114" i="13"/>
  <c r="I115" i="13"/>
  <c r="I116" i="13"/>
  <c r="I117" i="13"/>
  <c r="I118" i="13"/>
  <c r="I119" i="13"/>
  <c r="I137" i="13"/>
  <c r="I138" i="13"/>
  <c r="I139" i="13"/>
  <c r="I33" i="13"/>
  <c r="I34" i="13"/>
  <c r="I36" i="13"/>
  <c r="I37" i="13"/>
  <c r="I38" i="13"/>
  <c r="I39" i="13"/>
  <c r="I42" i="13"/>
  <c r="I43" i="13"/>
  <c r="I50" i="13"/>
  <c r="I59" i="13"/>
  <c r="I69" i="13"/>
  <c r="I70" i="13"/>
  <c r="I72" i="13"/>
  <c r="I73" i="13"/>
  <c r="I74" i="13"/>
  <c r="I75" i="13"/>
  <c r="I85" i="13"/>
  <c r="I86" i="13"/>
  <c r="I87" i="13"/>
  <c r="I90" i="13"/>
  <c r="I101" i="13"/>
  <c r="I31" i="13"/>
  <c r="I19" i="13"/>
  <c r="I20" i="13"/>
  <c r="I21" i="13"/>
  <c r="I22" i="13"/>
  <c r="I23" i="13"/>
  <c r="I24" i="13"/>
  <c r="I25" i="13"/>
  <c r="I18" i="13"/>
  <c r="I12" i="13"/>
  <c r="I13" i="13"/>
  <c r="I14" i="13"/>
  <c r="I15" i="13"/>
  <c r="I1698" i="2"/>
  <c r="I1697" i="2"/>
  <c r="G1693" i="2"/>
  <c r="I1693" i="2" s="1"/>
  <c r="G1692" i="2"/>
  <c r="I1692" i="2" s="1"/>
  <c r="G1691" i="2"/>
  <c r="I1691" i="2" s="1"/>
  <c r="I1689" i="2"/>
  <c r="I1687" i="2"/>
  <c r="G1686" i="2"/>
  <c r="G1694" i="2" s="1"/>
  <c r="G1685" i="2"/>
  <c r="I1685" i="2" s="1"/>
  <c r="I1667" i="2"/>
  <c r="I1665" i="2"/>
  <c r="G1664" i="2"/>
  <c r="I1664" i="2" s="1"/>
  <c r="G1671" i="2"/>
  <c r="G1670" i="2"/>
  <c r="G1669" i="2"/>
  <c r="G1663" i="2"/>
  <c r="I1663" i="2" s="1"/>
  <c r="I1676" i="2"/>
  <c r="I1675" i="2"/>
  <c r="I1633" i="2"/>
  <c r="I1654" i="2"/>
  <c r="I1653" i="2"/>
  <c r="G1647" i="2"/>
  <c r="I1647" i="2" s="1"/>
  <c r="I1646" i="2"/>
  <c r="G1645" i="2"/>
  <c r="G1648" i="2" s="1"/>
  <c r="I1648" i="2" s="1"/>
  <c r="F1645" i="2"/>
  <c r="P1626" i="2"/>
  <c r="Q1625" i="2"/>
  <c r="P1625" i="2"/>
  <c r="P1624" i="2"/>
  <c r="G1615" i="2"/>
  <c r="I1615" i="2" s="1"/>
  <c r="G1619" i="2"/>
  <c r="G1617" i="2"/>
  <c r="G1618" i="2"/>
  <c r="F1617" i="2"/>
  <c r="I1714" i="2" l="1"/>
  <c r="I1713" i="2"/>
  <c r="I1717" i="2" s="1"/>
  <c r="G1677" i="2"/>
  <c r="I1677" i="2" s="1"/>
  <c r="G1695" i="2"/>
  <c r="I1695" i="2" s="1"/>
  <c r="I1694" i="2"/>
  <c r="I1686" i="2"/>
  <c r="G1688" i="2"/>
  <c r="I1688" i="2" s="1"/>
  <c r="G1699" i="2"/>
  <c r="I1699" i="2" s="1"/>
  <c r="G1672" i="2"/>
  <c r="G1666" i="2"/>
  <c r="I1666" i="2" s="1"/>
  <c r="I1671" i="2"/>
  <c r="I1670" i="2"/>
  <c r="I1669" i="2"/>
  <c r="G1650" i="2"/>
  <c r="G1655" i="2"/>
  <c r="I1655" i="2" s="1"/>
  <c r="I1645" i="2"/>
  <c r="I1617" i="2"/>
  <c r="F1618" i="2"/>
  <c r="I1618" i="2" s="1"/>
  <c r="F1619" i="2"/>
  <c r="I1619" i="2" s="1"/>
  <c r="I1637" i="2"/>
  <c r="I1636" i="2"/>
  <c r="I1634" i="2"/>
  <c r="I1631" i="2"/>
  <c r="I1630" i="2"/>
  <c r="I1622" i="2"/>
  <c r="I1621" i="2"/>
  <c r="I1614" i="2"/>
  <c r="I1613" i="2"/>
  <c r="I1612" i="2"/>
  <c r="I1604" i="2"/>
  <c r="I1603" i="2"/>
  <c r="G1601" i="2"/>
  <c r="I1601" i="2" s="1"/>
  <c r="F1600" i="2"/>
  <c r="I1600" i="2" s="1"/>
  <c r="G1599" i="2"/>
  <c r="I1599" i="2" s="1"/>
  <c r="G1598" i="2"/>
  <c r="I1598" i="2" s="1"/>
  <c r="G1597" i="2"/>
  <c r="I1597" i="2" s="1"/>
  <c r="G1596" i="2"/>
  <c r="I1596" i="2" s="1"/>
  <c r="G1595" i="2"/>
  <c r="I1595" i="2" s="1"/>
  <c r="I1593" i="2"/>
  <c r="I1592" i="2"/>
  <c r="I1584" i="2"/>
  <c r="I1583" i="2"/>
  <c r="G1581" i="2"/>
  <c r="I1581" i="2" s="1"/>
  <c r="G1580" i="2"/>
  <c r="I1580" i="2" s="1"/>
  <c r="G1579" i="2"/>
  <c r="I1579" i="2" s="1"/>
  <c r="G1577" i="2"/>
  <c r="I1577" i="2" s="1"/>
  <c r="I1576" i="2"/>
  <c r="I1568" i="2"/>
  <c r="I1567" i="2"/>
  <c r="G1565" i="2"/>
  <c r="I1565" i="2" s="1"/>
  <c r="G1564" i="2"/>
  <c r="I1564" i="2" s="1"/>
  <c r="G1563" i="2"/>
  <c r="I1563" i="2" s="1"/>
  <c r="G1561" i="2"/>
  <c r="I1561" i="2" s="1"/>
  <c r="I1560" i="2"/>
  <c r="I1552" i="2"/>
  <c r="I1551" i="2"/>
  <c r="G1549" i="2"/>
  <c r="I1549" i="2" s="1"/>
  <c r="G1548" i="2"/>
  <c r="I1548" i="2" s="1"/>
  <c r="G1547" i="2"/>
  <c r="I1547" i="2" s="1"/>
  <c r="G1545" i="2"/>
  <c r="I1545" i="2" s="1"/>
  <c r="I1544" i="2"/>
  <c r="G1536" i="2"/>
  <c r="I1536" i="2" s="1"/>
  <c r="G1534" i="2"/>
  <c r="I1534" i="2" s="1"/>
  <c r="G1533" i="2"/>
  <c r="I1533" i="2" s="1"/>
  <c r="G1532" i="2"/>
  <c r="I1532" i="2" s="1"/>
  <c r="G1531" i="2"/>
  <c r="I1531" i="2" s="1"/>
  <c r="G1530" i="2"/>
  <c r="I1530" i="2" s="1"/>
  <c r="G1529" i="2"/>
  <c r="G1535" i="2" s="1"/>
  <c r="I1535" i="2" s="1"/>
  <c r="G1527" i="2"/>
  <c r="I1527" i="2" s="1"/>
  <c r="G1519" i="2"/>
  <c r="I1519" i="2" s="1"/>
  <c r="G1517" i="2"/>
  <c r="I1517" i="2" s="1"/>
  <c r="G1516" i="2"/>
  <c r="I1516" i="2" s="1"/>
  <c r="G1515" i="2"/>
  <c r="I1515" i="2" s="1"/>
  <c r="G1514" i="2"/>
  <c r="I1514" i="2" s="1"/>
  <c r="G1513" i="2"/>
  <c r="I1513" i="2" s="1"/>
  <c r="G1512" i="2"/>
  <c r="I1512" i="2" s="1"/>
  <c r="G1510" i="2"/>
  <c r="I1510" i="2" s="1"/>
  <c r="G1501" i="2"/>
  <c r="G1502" i="2" s="1"/>
  <c r="I1502" i="2" s="1"/>
  <c r="G1498" i="2"/>
  <c r="I1498" i="2" s="1"/>
  <c r="I1497" i="2"/>
  <c r="I1496" i="2"/>
  <c r="G1495" i="2"/>
  <c r="I1495" i="2" s="1"/>
  <c r="G1494" i="2"/>
  <c r="F1492" i="2"/>
  <c r="I1492" i="2" s="1"/>
  <c r="I1491" i="2"/>
  <c r="I1483" i="2"/>
  <c r="G1481" i="2"/>
  <c r="I1481" i="2" s="1"/>
  <c r="G1480" i="2"/>
  <c r="I1480" i="2" s="1"/>
  <c r="G1479" i="2"/>
  <c r="I1479" i="2" s="1"/>
  <c r="I1478" i="2"/>
  <c r="I1477" i="2"/>
  <c r="G1476" i="2"/>
  <c r="I1476" i="2" s="1"/>
  <c r="G1475" i="2"/>
  <c r="I1475" i="2" s="1"/>
  <c r="G1474" i="2"/>
  <c r="I1474" i="2" s="1"/>
  <c r="I1472" i="2"/>
  <c r="I1464" i="2"/>
  <c r="G1462" i="2"/>
  <c r="I1462" i="2" s="1"/>
  <c r="G1461" i="2"/>
  <c r="I1461" i="2" s="1"/>
  <c r="G1460" i="2"/>
  <c r="I1460" i="2" s="1"/>
  <c r="I1459" i="2"/>
  <c r="G1458" i="2"/>
  <c r="I1458" i="2" s="1"/>
  <c r="G1457" i="2"/>
  <c r="I1457" i="2" s="1"/>
  <c r="G1456" i="2"/>
  <c r="I1456" i="2" s="1"/>
  <c r="I1454" i="2"/>
  <c r="I1446" i="2"/>
  <c r="G1444" i="2"/>
  <c r="I1444" i="2" s="1"/>
  <c r="G1443" i="2"/>
  <c r="I1443" i="2" s="1"/>
  <c r="I1442" i="2"/>
  <c r="G1441" i="2"/>
  <c r="I1441" i="2" s="1"/>
  <c r="G1439" i="2"/>
  <c r="I1439" i="2" s="1"/>
  <c r="I1438" i="2"/>
  <c r="I1430" i="2"/>
  <c r="G1428" i="2"/>
  <c r="I1428" i="2" s="1"/>
  <c r="G1427" i="2"/>
  <c r="I1427" i="2" s="1"/>
  <c r="I1426" i="2"/>
  <c r="G1425" i="2"/>
  <c r="I1425" i="2" s="1"/>
  <c r="G1423" i="2"/>
  <c r="I1423" i="2" s="1"/>
  <c r="I1422" i="2"/>
  <c r="I1414" i="2"/>
  <c r="I1413" i="2"/>
  <c r="I1411" i="2"/>
  <c r="I1409" i="2"/>
  <c r="I1408" i="2"/>
  <c r="I1407" i="2"/>
  <c r="I1406" i="2"/>
  <c r="I1405" i="2"/>
  <c r="I1404" i="2"/>
  <c r="I1403" i="2"/>
  <c r="I1402" i="2"/>
  <c r="I1401" i="2"/>
  <c r="I1393" i="2"/>
  <c r="I1392" i="2"/>
  <c r="I1390" i="2"/>
  <c r="I1389" i="2"/>
  <c r="I1388" i="2"/>
  <c r="I1387" i="2"/>
  <c r="I1386" i="2"/>
  <c r="I1385" i="2"/>
  <c r="I1384" i="2"/>
  <c r="I1383" i="2"/>
  <c r="I1381" i="2"/>
  <c r="I1380" i="2"/>
  <c r="I1372" i="2"/>
  <c r="I1371" i="2"/>
  <c r="I1368" i="2"/>
  <c r="G1360" i="2"/>
  <c r="I1360" i="2" s="1"/>
  <c r="I1359" i="2"/>
  <c r="G1357" i="2"/>
  <c r="G1356" i="2"/>
  <c r="I1356" i="2" s="1"/>
  <c r="G1354" i="2"/>
  <c r="G1355" i="2" s="1"/>
  <c r="I1355" i="2" s="1"/>
  <c r="G1353" i="2"/>
  <c r="I1353" i="2" s="1"/>
  <c r="G1352" i="2"/>
  <c r="I1352" i="2" s="1"/>
  <c r="G1351" i="2"/>
  <c r="I1351" i="2" s="1"/>
  <c r="G1350" i="2"/>
  <c r="I1350" i="2" s="1"/>
  <c r="G1349" i="2"/>
  <c r="I1349" i="2" s="1"/>
  <c r="I1348" i="2"/>
  <c r="G1347" i="2"/>
  <c r="I1347" i="2" s="1"/>
  <c r="G1346" i="2"/>
  <c r="I1346" i="2" s="1"/>
  <c r="G1345" i="2"/>
  <c r="I1345" i="2" s="1"/>
  <c r="G1343" i="2"/>
  <c r="I1343" i="2" s="1"/>
  <c r="I1342" i="2"/>
  <c r="G1341" i="2"/>
  <c r="I1341" i="2" s="1"/>
  <c r="G1333" i="2"/>
  <c r="I1333" i="2" s="1"/>
  <c r="I1332" i="2"/>
  <c r="G1330" i="2"/>
  <c r="G1329" i="2"/>
  <c r="I1329" i="2" s="1"/>
  <c r="G1327" i="2"/>
  <c r="I1327" i="2" s="1"/>
  <c r="G1326" i="2"/>
  <c r="I1326" i="2" s="1"/>
  <c r="G1325" i="2"/>
  <c r="I1325" i="2" s="1"/>
  <c r="G1324" i="2"/>
  <c r="I1324" i="2" s="1"/>
  <c r="G1323" i="2"/>
  <c r="I1323" i="2" s="1"/>
  <c r="G1322" i="2"/>
  <c r="I1322" i="2" s="1"/>
  <c r="I1321" i="2"/>
  <c r="G1320" i="2"/>
  <c r="I1320" i="2" s="1"/>
  <c r="G1319" i="2"/>
  <c r="I1319" i="2" s="1"/>
  <c r="G1318" i="2"/>
  <c r="I1318" i="2" s="1"/>
  <c r="G1316" i="2"/>
  <c r="I1316" i="2" s="1"/>
  <c r="I1315" i="2"/>
  <c r="G1314" i="2"/>
  <c r="I1314" i="2" s="1"/>
  <c r="G1306" i="2"/>
  <c r="I1306" i="2" s="1"/>
  <c r="I1305" i="2"/>
  <c r="G1303" i="2"/>
  <c r="G1302" i="2"/>
  <c r="I1302" i="2" s="1"/>
  <c r="G1300" i="2"/>
  <c r="I1300" i="2" s="1"/>
  <c r="G1299" i="2"/>
  <c r="I1299" i="2" s="1"/>
  <c r="G1298" i="2"/>
  <c r="I1298" i="2" s="1"/>
  <c r="G1297" i="2"/>
  <c r="I1297" i="2" s="1"/>
  <c r="G1296" i="2"/>
  <c r="I1296" i="2" s="1"/>
  <c r="G1295" i="2"/>
  <c r="I1295" i="2" s="1"/>
  <c r="I1294" i="2"/>
  <c r="G1293" i="2"/>
  <c r="I1293" i="2" s="1"/>
  <c r="G1292" i="2"/>
  <c r="I1292" i="2" s="1"/>
  <c r="G1291" i="2"/>
  <c r="I1291" i="2" s="1"/>
  <c r="G1289" i="2"/>
  <c r="I1289" i="2" s="1"/>
  <c r="I1288" i="2"/>
  <c r="G1287" i="2"/>
  <c r="I1287" i="2" s="1"/>
  <c r="G1279" i="2"/>
  <c r="I1279" i="2" s="1"/>
  <c r="I1278" i="2"/>
  <c r="G1276" i="2"/>
  <c r="G1275" i="2"/>
  <c r="I1275" i="2" s="1"/>
  <c r="G1273" i="2"/>
  <c r="I1273" i="2" s="1"/>
  <c r="G1272" i="2"/>
  <c r="I1272" i="2" s="1"/>
  <c r="G1271" i="2"/>
  <c r="I1271" i="2" s="1"/>
  <c r="G1270" i="2"/>
  <c r="I1270" i="2" s="1"/>
  <c r="G1269" i="2"/>
  <c r="I1269" i="2" s="1"/>
  <c r="G1268" i="2"/>
  <c r="I1268" i="2" s="1"/>
  <c r="I1267" i="2"/>
  <c r="G1266" i="2"/>
  <c r="I1266" i="2" s="1"/>
  <c r="G1265" i="2"/>
  <c r="I1265" i="2" s="1"/>
  <c r="G1264" i="2"/>
  <c r="I1264" i="2" s="1"/>
  <c r="G1262" i="2"/>
  <c r="I1262" i="2" s="1"/>
  <c r="I1261" i="2"/>
  <c r="G1260" i="2"/>
  <c r="I1260" i="2" s="1"/>
  <c r="Q1258" i="2"/>
  <c r="I1252" i="2"/>
  <c r="I1251" i="2"/>
  <c r="F1249" i="2"/>
  <c r="I1249" i="2" s="1"/>
  <c r="I1248" i="2"/>
  <c r="I1247" i="2"/>
  <c r="I1246" i="2"/>
  <c r="I1238" i="2"/>
  <c r="I1237" i="2"/>
  <c r="G1235" i="2"/>
  <c r="I1235" i="2" s="1"/>
  <c r="G1234" i="2"/>
  <c r="I1234" i="2" s="1"/>
  <c r="G1233" i="2"/>
  <c r="I1233" i="2" s="1"/>
  <c r="G1232" i="2"/>
  <c r="I1232" i="2" s="1"/>
  <c r="I1230" i="2"/>
  <c r="I1229" i="2"/>
  <c r="I1228" i="2"/>
  <c r="I1227" i="2"/>
  <c r="I1216" i="2"/>
  <c r="G1215" i="2"/>
  <c r="I1215" i="2" s="1"/>
  <c r="I1214" i="2"/>
  <c r="G1213" i="2"/>
  <c r="I1213" i="2" s="1"/>
  <c r="G1212" i="2"/>
  <c r="G1210" i="2"/>
  <c r="F1210" i="2"/>
  <c r="F1212" i="2" s="1"/>
  <c r="F1218" i="2" s="1"/>
  <c r="I1218" i="2" s="1"/>
  <c r="I1202" i="2"/>
  <c r="I1201" i="2"/>
  <c r="I1199" i="2"/>
  <c r="I1198" i="2"/>
  <c r="I1190" i="2"/>
  <c r="G1189" i="2"/>
  <c r="I1189" i="2" s="1"/>
  <c r="G1188" i="2"/>
  <c r="I1188" i="2" s="1"/>
  <c r="I1187" i="2"/>
  <c r="G1185" i="2"/>
  <c r="I1185" i="2" s="1"/>
  <c r="G1184" i="2"/>
  <c r="I1184" i="2" s="1"/>
  <c r="I1183" i="2"/>
  <c r="G1182" i="2"/>
  <c r="I1182" i="2" s="1"/>
  <c r="G1181" i="2"/>
  <c r="I1181" i="2" s="1"/>
  <c r="G1180" i="2"/>
  <c r="I1180" i="2" s="1"/>
  <c r="G1179" i="2"/>
  <c r="I1179" i="2" s="1"/>
  <c r="G1178" i="2"/>
  <c r="I1178" i="2" s="1"/>
  <c r="G1177" i="2"/>
  <c r="I1177" i="2" s="1"/>
  <c r="G1176" i="2"/>
  <c r="I1176" i="2" s="1"/>
  <c r="G1175" i="2"/>
  <c r="I1175" i="2" s="1"/>
  <c r="G1173" i="2"/>
  <c r="I1171" i="2"/>
  <c r="G1170" i="2"/>
  <c r="I1170" i="2" s="1"/>
  <c r="G1169" i="2"/>
  <c r="I1169" i="2" s="1"/>
  <c r="G1168" i="2"/>
  <c r="I1168" i="2" s="1"/>
  <c r="I1167" i="2"/>
  <c r="I1166" i="2"/>
  <c r="I1165" i="2"/>
  <c r="I1164" i="2"/>
  <c r="F1162" i="2"/>
  <c r="F1173" i="2" s="1"/>
  <c r="I1415" i="2" l="1"/>
  <c r="I1394" i="2"/>
  <c r="I1623" i="2"/>
  <c r="I1605" i="2"/>
  <c r="I1638" i="2"/>
  <c r="I1484" i="2"/>
  <c r="H223" i="13" s="1"/>
  <c r="I223" i="13" s="1"/>
  <c r="I1465" i="2"/>
  <c r="H222" i="13" s="1"/>
  <c r="I222" i="13" s="1"/>
  <c r="I1585" i="2"/>
  <c r="H229" i="13" s="1"/>
  <c r="I229" i="13" s="1"/>
  <c r="I1447" i="2"/>
  <c r="H221" i="13" s="1"/>
  <c r="I221" i="13" s="1"/>
  <c r="I263" i="13"/>
  <c r="E19" i="11"/>
  <c r="H242" i="13"/>
  <c r="I242" i="13" s="1"/>
  <c r="I1700" i="2"/>
  <c r="I1210" i="2"/>
  <c r="G1673" i="2"/>
  <c r="I1673" i="2" s="1"/>
  <c r="I1672" i="2"/>
  <c r="I1650" i="2"/>
  <c r="G1651" i="2"/>
  <c r="I1651" i="2" s="1"/>
  <c r="G1499" i="2"/>
  <c r="I1499" i="2" s="1"/>
  <c r="F1174" i="2"/>
  <c r="I1174" i="2" s="1"/>
  <c r="I1162" i="2"/>
  <c r="I1173" i="2"/>
  <c r="I1569" i="2"/>
  <c r="H228" i="13" s="1"/>
  <c r="I228" i="13" s="1"/>
  <c r="I1373" i="2"/>
  <c r="H213" i="13" s="1"/>
  <c r="I213" i="13" s="1"/>
  <c r="F1219" i="2"/>
  <c r="I1219" i="2" s="1"/>
  <c r="H218" i="13"/>
  <c r="I218" i="13" s="1"/>
  <c r="H219" i="13"/>
  <c r="I219" i="13" s="1"/>
  <c r="I1431" i="2"/>
  <c r="H220" i="13" s="1"/>
  <c r="I220" i="13" s="1"/>
  <c r="H235" i="13"/>
  <c r="I235" i="13" s="1"/>
  <c r="F1163" i="2"/>
  <c r="I1163" i="2" s="1"/>
  <c r="I1354" i="2"/>
  <c r="H234" i="13"/>
  <c r="I234" i="13" s="1"/>
  <c r="I1203" i="2"/>
  <c r="H203" i="13" s="1"/>
  <c r="I1253" i="2"/>
  <c r="I1553" i="2"/>
  <c r="H227" i="13" s="1"/>
  <c r="I227" i="13" s="1"/>
  <c r="H231" i="13"/>
  <c r="I231" i="13" s="1"/>
  <c r="I1239" i="2"/>
  <c r="H205" i="13" s="1"/>
  <c r="I205" i="13" s="1"/>
  <c r="G1328" i="2"/>
  <c r="I1328" i="2" s="1"/>
  <c r="G1301" i="2"/>
  <c r="I1301" i="2" s="1"/>
  <c r="I1212" i="2"/>
  <c r="G1274" i="2"/>
  <c r="I1274" i="2" s="1"/>
  <c r="I1494" i="2"/>
  <c r="I1529" i="2"/>
  <c r="I1537" i="2" s="1"/>
  <c r="H226" i="13" s="1"/>
  <c r="I226" i="13" s="1"/>
  <c r="I1501" i="2"/>
  <c r="G1518" i="2"/>
  <c r="I1518" i="2" s="1"/>
  <c r="I1520" i="2" s="1"/>
  <c r="H225" i="13" s="1"/>
  <c r="I225" i="13" s="1"/>
  <c r="I1191" i="2" l="1"/>
  <c r="F40" i="14"/>
  <c r="H1276" i="2"/>
  <c r="I1276" i="2" s="1"/>
  <c r="H1357" i="2"/>
  <c r="I1357" i="2" s="1"/>
  <c r="I1361" i="2" s="1"/>
  <c r="H211" i="13" s="1"/>
  <c r="I211" i="13" s="1"/>
  <c r="H1330" i="2"/>
  <c r="I1330" i="2" s="1"/>
  <c r="H1303" i="2"/>
  <c r="I1303" i="2" s="1"/>
  <c r="I1307" i="2" s="1"/>
  <c r="H209" i="13" s="1"/>
  <c r="I209" i="13" s="1"/>
  <c r="I1678" i="2"/>
  <c r="I1656" i="2"/>
  <c r="H200" i="13"/>
  <c r="I200" i="13" s="1"/>
  <c r="I1503" i="2"/>
  <c r="H224" i="13" s="1"/>
  <c r="I224" i="13" s="1"/>
  <c r="I217" i="13" s="1"/>
  <c r="E17" i="11" s="1"/>
  <c r="I1220" i="2"/>
  <c r="H204" i="13" s="1"/>
  <c r="I204" i="13" s="1"/>
  <c r="I260" i="2"/>
  <c r="I259" i="2"/>
  <c r="I257" i="2"/>
  <c r="I1126" i="2"/>
  <c r="I1127" i="2" l="1"/>
  <c r="H192" i="13" s="1"/>
  <c r="I192" i="13" s="1"/>
  <c r="I1280" i="2"/>
  <c r="H208" i="13" s="1"/>
  <c r="I208" i="13" s="1"/>
  <c r="I1334" i="2"/>
  <c r="H210" i="13" s="1"/>
  <c r="I210" i="13" s="1"/>
  <c r="F34" i="14"/>
  <c r="V42" i="14"/>
  <c r="U42" i="14"/>
  <c r="T42" i="14"/>
  <c r="S42" i="14"/>
  <c r="R42" i="14"/>
  <c r="Q42" i="14"/>
  <c r="H42" i="14"/>
  <c r="G42" i="14"/>
  <c r="I42" i="14"/>
  <c r="J42" i="14"/>
  <c r="K42" i="14"/>
  <c r="L42" i="14"/>
  <c r="H240" i="13"/>
  <c r="I240" i="13" s="1"/>
  <c r="H239" i="13"/>
  <c r="I239" i="13" s="1"/>
  <c r="I261" i="2"/>
  <c r="H71" i="13" s="1"/>
  <c r="I71" i="13" s="1"/>
  <c r="I207" i="13" l="1"/>
  <c r="E16" i="11"/>
  <c r="F31" i="14" s="1"/>
  <c r="AE42" i="14"/>
  <c r="AF42" i="14" s="1"/>
  <c r="N36" i="14"/>
  <c r="M36" i="14"/>
  <c r="I36" i="14"/>
  <c r="L36" i="14"/>
  <c r="G36" i="14"/>
  <c r="H36" i="14"/>
  <c r="K36" i="14"/>
  <c r="J36" i="14"/>
  <c r="I540" i="2"/>
  <c r="I543" i="2"/>
  <c r="AE36" i="14" l="1"/>
  <c r="AF36" i="14" s="1"/>
  <c r="AC33" i="14"/>
  <c r="M33" i="14"/>
  <c r="O33" i="14"/>
  <c r="P33" i="14"/>
  <c r="N33" i="14"/>
  <c r="AD33" i="14"/>
  <c r="Q33" i="14"/>
  <c r="L33" i="14"/>
  <c r="Z33" i="14"/>
  <c r="AB33" i="14"/>
  <c r="Y33" i="14"/>
  <c r="AA33" i="14"/>
  <c r="G9" i="13"/>
  <c r="I9" i="13" s="1"/>
  <c r="G10" i="13"/>
  <c r="I10" i="13" s="1"/>
  <c r="AE33" i="14" l="1"/>
  <c r="AF33" i="14" s="1"/>
  <c r="G203" i="13"/>
  <c r="I203" i="13" s="1"/>
  <c r="G202" i="13"/>
  <c r="I202" i="13" s="1"/>
  <c r="G199" i="13"/>
  <c r="I199" i="13" s="1"/>
  <c r="G179" i="13"/>
  <c r="G158" i="13"/>
  <c r="I158" i="13" s="1"/>
  <c r="G148" i="13"/>
  <c r="I148" i="13" s="1"/>
  <c r="G145" i="13"/>
  <c r="I145" i="13" s="1"/>
  <c r="G131" i="13"/>
  <c r="I131" i="13" s="1"/>
  <c r="G109" i="13"/>
  <c r="I109" i="13" s="1"/>
  <c r="G108" i="13"/>
  <c r="I108" i="13" s="1"/>
  <c r="G91" i="13"/>
  <c r="G67" i="13"/>
  <c r="G66" i="13"/>
  <c r="G65" i="13"/>
  <c r="I65" i="13" s="1"/>
  <c r="G64" i="13"/>
  <c r="I64" i="13" s="1"/>
  <c r="G63" i="13"/>
  <c r="G62" i="13"/>
  <c r="I62" i="13" s="1"/>
  <c r="G61" i="13"/>
  <c r="I61" i="13" s="1"/>
  <c r="G49" i="13"/>
  <c r="I49" i="13" s="1"/>
  <c r="G48" i="13"/>
  <c r="I48" i="13" s="1"/>
  <c r="G35" i="13"/>
  <c r="G27" i="13"/>
  <c r="I27" i="13" s="1"/>
  <c r="G26" i="13"/>
  <c r="I26" i="13" s="1"/>
  <c r="I17" i="13" l="1"/>
  <c r="E8" i="11" s="1"/>
  <c r="I197" i="13"/>
  <c r="E15" i="11" s="1"/>
  <c r="G144" i="13"/>
  <c r="G149" i="13"/>
  <c r="I149" i="13" s="1"/>
  <c r="G147" i="13"/>
  <c r="F7" i="14" l="1"/>
  <c r="AD9" i="14" s="1"/>
  <c r="F28" i="14"/>
  <c r="G150" i="13"/>
  <c r="I150" i="13" s="1"/>
  <c r="I144" i="13"/>
  <c r="G146" i="13"/>
  <c r="I146" i="13" s="1"/>
  <c r="W30" i="14" l="1"/>
  <c r="AB9" i="14"/>
  <c r="I9" i="14"/>
  <c r="H9" i="14"/>
  <c r="Q9" i="14"/>
  <c r="AC9" i="14"/>
  <c r="S9" i="14"/>
  <c r="N9" i="14"/>
  <c r="T9" i="14"/>
  <c r="R9" i="14"/>
  <c r="W9" i="14"/>
  <c r="L9" i="14"/>
  <c r="Y9" i="14"/>
  <c r="P9" i="14"/>
  <c r="X9" i="14"/>
  <c r="M9" i="14"/>
  <c r="Z9" i="14"/>
  <c r="K9" i="14"/>
  <c r="U9" i="14"/>
  <c r="J9" i="14"/>
  <c r="O9" i="14"/>
  <c r="G9" i="14"/>
  <c r="AA9" i="14"/>
  <c r="V9" i="14"/>
  <c r="U30" i="14"/>
  <c r="T30" i="14"/>
  <c r="S30" i="14"/>
  <c r="R30" i="14"/>
  <c r="V30" i="14"/>
  <c r="I531" i="2"/>
  <c r="I528" i="2"/>
  <c r="I530" i="2"/>
  <c r="I201" i="2"/>
  <c r="I200" i="2"/>
  <c r="I198" i="2"/>
  <c r="AE30" i="14" l="1"/>
  <c r="AF30" i="14" s="1"/>
  <c r="AE9" i="14"/>
  <c r="AF9" i="14" s="1"/>
  <c r="I202" i="2"/>
  <c r="H58" i="13" s="1"/>
  <c r="I58" i="13" s="1"/>
  <c r="I179" i="2"/>
  <c r="I178" i="2"/>
  <c r="I176" i="2"/>
  <c r="I157" i="2"/>
  <c r="I156" i="2"/>
  <c r="I154" i="2"/>
  <c r="I146" i="2"/>
  <c r="I145" i="2"/>
  <c r="I143" i="2"/>
  <c r="I1154" i="2"/>
  <c r="I1153" i="2"/>
  <c r="I1142" i="2"/>
  <c r="I1145" i="2"/>
  <c r="I1144" i="2"/>
  <c r="I1155" i="2" l="1"/>
  <c r="H195" i="13" s="1"/>
  <c r="I195" i="13" s="1"/>
  <c r="I158" i="2"/>
  <c r="H54" i="13" s="1"/>
  <c r="I54" i="13" s="1"/>
  <c r="I180" i="2"/>
  <c r="H56" i="13" s="1"/>
  <c r="I56" i="13" s="1"/>
  <c r="I147" i="2"/>
  <c r="H53" i="13" s="1"/>
  <c r="I53" i="13" s="1"/>
  <c r="I1146" i="2"/>
  <c r="H194" i="13" s="1"/>
  <c r="I194" i="13" s="1"/>
  <c r="I113" i="2" l="1"/>
  <c r="I112" i="2"/>
  <c r="I114" i="2" l="1"/>
  <c r="H46" i="13" s="1"/>
  <c r="I46" i="13" s="1"/>
  <c r="I95" i="2" l="1"/>
  <c r="I94" i="2"/>
  <c r="I92" i="2"/>
  <c r="I96" i="2" l="1"/>
  <c r="H44" i="13" s="1"/>
  <c r="I44" i="13" s="1"/>
  <c r="G79" i="2"/>
  <c r="I79" i="2" s="1"/>
  <c r="G59" i="2"/>
  <c r="G78" i="2"/>
  <c r="I78" i="2" s="1"/>
  <c r="G76" i="2"/>
  <c r="I76" i="2" s="1"/>
  <c r="G75" i="2"/>
  <c r="I75" i="2" s="1"/>
  <c r="F72" i="2"/>
  <c r="I72" i="2" s="1"/>
  <c r="F52" i="2"/>
  <c r="G61" i="2" s="1"/>
  <c r="I61" i="2" s="1"/>
  <c r="I84" i="2"/>
  <c r="I83" i="2"/>
  <c r="I80" i="2"/>
  <c r="I73" i="2"/>
  <c r="G56" i="2"/>
  <c r="I56" i="2" s="1"/>
  <c r="I64" i="2"/>
  <c r="I63" i="2"/>
  <c r="F77" i="2" l="1"/>
  <c r="I77" i="2" s="1"/>
  <c r="F57" i="2"/>
  <c r="I57" i="2" s="1"/>
  <c r="G81" i="2"/>
  <c r="I81" i="2" s="1"/>
  <c r="I52" i="2"/>
  <c r="I53" i="2"/>
  <c r="G55" i="2"/>
  <c r="G58" i="2"/>
  <c r="I58" i="2" s="1"/>
  <c r="I60" i="2"/>
  <c r="I59" i="2"/>
  <c r="I85" i="2" l="1"/>
  <c r="I55" i="2"/>
  <c r="I65" i="2" s="1"/>
  <c r="H40" i="13" l="1"/>
  <c r="I40" i="13" s="1"/>
  <c r="H41" i="13"/>
  <c r="I41" i="13" s="1"/>
  <c r="I20" i="2"/>
  <c r="I21" i="2"/>
  <c r="I22" i="2"/>
  <c r="I19" i="2"/>
  <c r="I25" i="2"/>
  <c r="I24" i="2"/>
  <c r="I26" i="2" l="1"/>
  <c r="H32" i="13" s="1"/>
  <c r="I32" i="13" s="1"/>
  <c r="I519" i="2"/>
  <c r="I518" i="2"/>
  <c r="I516" i="2"/>
  <c r="I520" i="2" l="1"/>
  <c r="H95" i="13" s="1"/>
  <c r="I95" i="13" s="1"/>
  <c r="I505" i="2" l="1"/>
  <c r="I508" i="2"/>
  <c r="I507" i="2"/>
  <c r="I509" i="2" l="1"/>
  <c r="H94" i="13" s="1"/>
  <c r="I94" i="13" s="1"/>
  <c r="I461" i="2"/>
  <c r="I460" i="2"/>
  <c r="I458" i="2"/>
  <c r="I494" i="2"/>
  <c r="I493" i="2"/>
  <c r="I497" i="2"/>
  <c r="I496" i="2"/>
  <c r="I482" i="2"/>
  <c r="I462" i="2" l="1"/>
  <c r="H89" i="13" s="1"/>
  <c r="I89" i="13" s="1"/>
  <c r="I498" i="2"/>
  <c r="H93" i="13" s="1"/>
  <c r="I93" i="13" s="1"/>
  <c r="I485" i="2"/>
  <c r="I484" i="2"/>
  <c r="F474" i="2"/>
  <c r="I474" i="2" s="1"/>
  <c r="F473" i="2"/>
  <c r="I473" i="2" s="1"/>
  <c r="F470" i="2"/>
  <c r="F471" i="2"/>
  <c r="I471" i="2" s="1"/>
  <c r="F469" i="2"/>
  <c r="G469" i="2"/>
  <c r="I450" i="2"/>
  <c r="I449" i="2"/>
  <c r="I447" i="2"/>
  <c r="I439" i="2"/>
  <c r="I438" i="2"/>
  <c r="I437" i="2"/>
  <c r="I469" i="2" l="1"/>
  <c r="G470" i="2"/>
  <c r="I470" i="2" s="1"/>
  <c r="I486" i="2"/>
  <c r="H92" i="13" s="1"/>
  <c r="I92" i="13" s="1"/>
  <c r="I451" i="2"/>
  <c r="H88" i="13" s="1"/>
  <c r="I88" i="13" s="1"/>
  <c r="I475" i="2" l="1"/>
  <c r="H91" i="13" s="1"/>
  <c r="I91" i="13" s="1"/>
  <c r="I632" i="2"/>
  <c r="I628" i="2"/>
  <c r="I629" i="2"/>
  <c r="I631" i="2"/>
  <c r="G635" i="2"/>
  <c r="I635" i="2" s="1"/>
  <c r="G634" i="2"/>
  <c r="I634" i="2" s="1"/>
  <c r="G600" i="2"/>
  <c r="I627" i="2"/>
  <c r="I636" i="2" l="1"/>
  <c r="H110" i="13" s="1"/>
  <c r="I110" i="13" s="1"/>
  <c r="I619" i="2"/>
  <c r="I618" i="2"/>
  <c r="I617" i="2"/>
  <c r="I616" i="2"/>
  <c r="I615" i="2"/>
  <c r="G614" i="2"/>
  <c r="I614" i="2" s="1"/>
  <c r="I612" i="2"/>
  <c r="I611" i="2"/>
  <c r="I609" i="2"/>
  <c r="I608" i="2"/>
  <c r="I607" i="2"/>
  <c r="I606" i="2"/>
  <c r="I605" i="2"/>
  <c r="I604" i="2"/>
  <c r="I603" i="2"/>
  <c r="I602" i="2"/>
  <c r="I601" i="2"/>
  <c r="I600" i="2"/>
  <c r="I599" i="2"/>
  <c r="I598" i="2"/>
  <c r="I597" i="2"/>
  <c r="I596" i="2"/>
  <c r="I595" i="2"/>
  <c r="I594" i="2"/>
  <c r="I593" i="2"/>
  <c r="I592" i="2"/>
  <c r="I591" i="2"/>
  <c r="I590" i="2"/>
  <c r="I620" i="2" l="1"/>
  <c r="H107" i="13"/>
  <c r="I107" i="13" s="1"/>
  <c r="I755" i="2" l="1"/>
  <c r="I754" i="2"/>
  <c r="I752" i="2"/>
  <c r="I756" i="2" l="1"/>
  <c r="H129" i="13" s="1"/>
  <c r="I129" i="13" s="1"/>
  <c r="F15" i="11" l="1"/>
  <c r="F14" i="11"/>
  <c r="F13" i="11"/>
  <c r="F12" i="11"/>
  <c r="F11" i="11"/>
  <c r="F10" i="11"/>
  <c r="F9" i="11"/>
  <c r="F8" i="11"/>
  <c r="F7" i="11"/>
  <c r="I1116" i="2" l="1"/>
  <c r="I1115" i="2"/>
  <c r="I1114" i="2"/>
  <c r="I1118" i="2"/>
  <c r="I1119" i="2" l="1"/>
  <c r="H188" i="13" s="1"/>
  <c r="I188" i="13" s="1"/>
  <c r="I1081" i="2"/>
  <c r="G103" i="2" l="1"/>
  <c r="I103" i="2" s="1"/>
  <c r="I1106" i="2"/>
  <c r="I1105" i="2"/>
  <c r="I1103" i="2"/>
  <c r="I1093" i="2"/>
  <c r="I1095" i="2"/>
  <c r="I1092" i="2"/>
  <c r="I1096" i="2" s="1"/>
  <c r="I1107" i="2" l="1"/>
  <c r="H187" i="13" s="1"/>
  <c r="I187" i="13" s="1"/>
  <c r="G104" i="2"/>
  <c r="I104" i="2" s="1"/>
  <c r="I105" i="2" s="1"/>
  <c r="H186" i="13"/>
  <c r="I186" i="13" s="1"/>
  <c r="I1084" i="2"/>
  <c r="I1083" i="2"/>
  <c r="I1080" i="2"/>
  <c r="I1072" i="2"/>
  <c r="I1071" i="2"/>
  <c r="I1069" i="2"/>
  <c r="H179" i="13" l="1"/>
  <c r="I179" i="13" s="1"/>
  <c r="H45" i="13"/>
  <c r="I45" i="13" s="1"/>
  <c r="I1073" i="2"/>
  <c r="H183" i="13" s="1"/>
  <c r="I183" i="13" s="1"/>
  <c r="I1085" i="2"/>
  <c r="H185" i="13" s="1"/>
  <c r="I185" i="13" s="1"/>
  <c r="H189" i="13" l="1"/>
  <c r="I189" i="13" s="1"/>
  <c r="I177" i="13" s="1"/>
  <c r="I1134" i="2"/>
  <c r="I1135" i="2" s="1"/>
  <c r="E13" i="11" l="1"/>
  <c r="F22" i="14" s="1"/>
  <c r="H193" i="13"/>
  <c r="I193" i="13" s="1"/>
  <c r="I191" i="13" s="1"/>
  <c r="E14" i="11" s="1"/>
  <c r="H245" i="13"/>
  <c r="I245" i="13" s="1"/>
  <c r="I233" i="13" s="1"/>
  <c r="E18" i="11" s="1"/>
  <c r="I852" i="2"/>
  <c r="I851" i="2"/>
  <c r="I647" i="2"/>
  <c r="I645" i="2"/>
  <c r="F644" i="2"/>
  <c r="I644" i="2" s="1"/>
  <c r="I643" i="2"/>
  <c r="I840" i="2"/>
  <c r="I843" i="2"/>
  <c r="I842" i="2"/>
  <c r="I837" i="2"/>
  <c r="I838" i="2"/>
  <c r="I834" i="2"/>
  <c r="I835" i="2"/>
  <c r="I836" i="2"/>
  <c r="G831" i="2"/>
  <c r="I831" i="2" s="1"/>
  <c r="G818" i="2"/>
  <c r="I818" i="2" s="1"/>
  <c r="I841" i="2"/>
  <c r="I833" i="2"/>
  <c r="I832" i="2"/>
  <c r="G819" i="2"/>
  <c r="I819" i="2" s="1"/>
  <c r="I823" i="2"/>
  <c r="I822" i="2"/>
  <c r="I820" i="2"/>
  <c r="I817" i="2"/>
  <c r="I797" i="2"/>
  <c r="I796" i="2"/>
  <c r="I794" i="2"/>
  <c r="I793" i="2"/>
  <c r="I805" i="2"/>
  <c r="I809" i="2"/>
  <c r="I808" i="2"/>
  <c r="I806" i="2"/>
  <c r="I785" i="2"/>
  <c r="I784" i="2"/>
  <c r="I782" i="2"/>
  <c r="I781" i="2"/>
  <c r="A58" i="7"/>
  <c r="A57" i="7"/>
  <c r="A56" i="7"/>
  <c r="A55" i="7"/>
  <c r="A54" i="7"/>
  <c r="E43" i="7"/>
  <c r="A59" i="7" s="1"/>
  <c r="D43" i="7"/>
  <c r="C43" i="7"/>
  <c r="B43" i="7"/>
  <c r="A29" i="7"/>
  <c r="A28" i="7"/>
  <c r="A27" i="7"/>
  <c r="A26" i="7"/>
  <c r="A25" i="7"/>
  <c r="E11" i="7"/>
  <c r="A30" i="7" s="1"/>
  <c r="E32" i="7" s="1"/>
  <c r="D11" i="7"/>
  <c r="C11" i="7"/>
  <c r="B11" i="7"/>
  <c r="I648" i="2" l="1"/>
  <c r="H111" i="13" s="1"/>
  <c r="I111" i="13" s="1"/>
  <c r="I844" i="2"/>
  <c r="I824" i="2"/>
  <c r="I786" i="2"/>
  <c r="H132" i="13" s="1"/>
  <c r="I132" i="13" s="1"/>
  <c r="T24" i="14"/>
  <c r="V24" i="14"/>
  <c r="U24" i="14"/>
  <c r="S24" i="14"/>
  <c r="R24" i="14"/>
  <c r="F25" i="14"/>
  <c r="F37" i="14"/>
  <c r="AB39" i="14" s="1"/>
  <c r="I853" i="2"/>
  <c r="H140" i="13" s="1"/>
  <c r="I140" i="13" s="1"/>
  <c r="I798" i="2"/>
  <c r="H133" i="13" s="1"/>
  <c r="I133" i="13" s="1"/>
  <c r="I810" i="2"/>
  <c r="H134" i="13" s="1"/>
  <c r="I134" i="13" s="1"/>
  <c r="H136" i="13"/>
  <c r="I136" i="13" s="1"/>
  <c r="H135" i="13"/>
  <c r="I135" i="13" s="1"/>
  <c r="E61" i="7"/>
  <c r="AE24" i="14" l="1"/>
  <c r="AF24" i="14" s="1"/>
  <c r="V27" i="14"/>
  <c r="U27" i="14"/>
  <c r="T27" i="14"/>
  <c r="S27" i="14"/>
  <c r="W39" i="14"/>
  <c r="AA39" i="14"/>
  <c r="U39" i="14"/>
  <c r="Z39" i="14"/>
  <c r="Y39" i="14"/>
  <c r="X39" i="14"/>
  <c r="V39" i="14"/>
  <c r="I767" i="2"/>
  <c r="AE27" i="14" l="1"/>
  <c r="AF27" i="14" s="1"/>
  <c r="AE39" i="14"/>
  <c r="AF39" i="14" s="1"/>
  <c r="I773" i="2"/>
  <c r="I772" i="2"/>
  <c r="I769" i="2"/>
  <c r="I768" i="2"/>
  <c r="I766" i="2"/>
  <c r="I765" i="2" l="1"/>
  <c r="I764" i="2" l="1"/>
  <c r="I763" i="2"/>
  <c r="H770" i="2" l="1"/>
  <c r="I770" i="2" s="1"/>
  <c r="I744" i="2"/>
  <c r="I742" i="2"/>
  <c r="I774" i="2" l="1"/>
  <c r="H130" i="13" s="1"/>
  <c r="I130" i="13" s="1"/>
  <c r="I745" i="2"/>
  <c r="H128" i="13" s="1"/>
  <c r="I128" i="13" s="1"/>
  <c r="I734" i="2"/>
  <c r="I732" i="2"/>
  <c r="I735" i="2" l="1"/>
  <c r="I724" i="2"/>
  <c r="I723" i="2"/>
  <c r="I721" i="2"/>
  <c r="I713" i="2"/>
  <c r="I712" i="2"/>
  <c r="I710" i="2"/>
  <c r="I702" i="2"/>
  <c r="I701" i="2"/>
  <c r="I699" i="2"/>
  <c r="I725" i="2" l="1"/>
  <c r="I714" i="2"/>
  <c r="H125" i="13" s="1"/>
  <c r="I125" i="13" s="1"/>
  <c r="I703" i="2"/>
  <c r="H124" i="13" s="1"/>
  <c r="I124" i="13" s="1"/>
  <c r="I691" i="2"/>
  <c r="I690" i="2"/>
  <c r="I688" i="2"/>
  <c r="H127" i="13" l="1"/>
  <c r="I127" i="13" s="1"/>
  <c r="H126" i="13"/>
  <c r="I126" i="13" s="1"/>
  <c r="I692" i="2"/>
  <c r="H123" i="13" s="1"/>
  <c r="I123" i="13" s="1"/>
  <c r="I680" i="2"/>
  <c r="I679" i="2"/>
  <c r="I677" i="2"/>
  <c r="I681" i="2" l="1"/>
  <c r="H122" i="13" s="1"/>
  <c r="I122" i="13" s="1"/>
  <c r="I669" i="2"/>
  <c r="I668" i="2"/>
  <c r="I666" i="2"/>
  <c r="I1048" i="2"/>
  <c r="I655" i="2"/>
  <c r="I670" i="2" l="1"/>
  <c r="H121" i="13" s="1"/>
  <c r="I121" i="13" s="1"/>
  <c r="I658" i="2"/>
  <c r="I657" i="2"/>
  <c r="I659" i="2" l="1"/>
  <c r="H120" i="13" s="1"/>
  <c r="I120" i="13" s="1"/>
  <c r="I105" i="13" l="1"/>
  <c r="E10" i="11" s="1"/>
  <c r="F13" i="14" s="1"/>
  <c r="I1013" i="2"/>
  <c r="I1012" i="2"/>
  <c r="I1011" i="2"/>
  <c r="I1006" i="2"/>
  <c r="I1007" i="2"/>
  <c r="I1008" i="2"/>
  <c r="I1005" i="2"/>
  <c r="I1009" i="2"/>
  <c r="I1016" i="2"/>
  <c r="I1015" i="2"/>
  <c r="I1004" i="2"/>
  <c r="I1003" i="2"/>
  <c r="I1002" i="2"/>
  <c r="I1001" i="2"/>
  <c r="I1000" i="2"/>
  <c r="G1058" i="2"/>
  <c r="I1052" i="2"/>
  <c r="I1051" i="2"/>
  <c r="I1043" i="2"/>
  <c r="I1049" i="2"/>
  <c r="J15" i="14" l="1"/>
  <c r="L15" i="14"/>
  <c r="K15" i="14"/>
  <c r="S15" i="14"/>
  <c r="O15" i="14"/>
  <c r="Q15" i="14"/>
  <c r="R15" i="14"/>
  <c r="M15" i="14"/>
  <c r="P15" i="14"/>
  <c r="N15" i="14"/>
  <c r="I1017" i="2"/>
  <c r="H173" i="13" s="1"/>
  <c r="I173" i="13" s="1"/>
  <c r="AE15" i="14" l="1"/>
  <c r="AF15" i="14" s="1"/>
  <c r="I1056" i="2"/>
  <c r="I1050" i="2" l="1"/>
  <c r="I1047" i="2"/>
  <c r="I1055" i="2"/>
  <c r="I1054" i="2"/>
  <c r="I1053" i="2"/>
  <c r="I1061" i="2"/>
  <c r="I1060" i="2"/>
  <c r="I1042" i="2" l="1"/>
  <c r="I1059" i="2" l="1"/>
  <c r="I1058" i="2"/>
  <c r="I1046" i="2"/>
  <c r="I1045" i="2"/>
  <c r="I1044" i="2"/>
  <c r="I1041" i="2"/>
  <c r="I1040" i="2"/>
  <c r="I1062" i="2" l="1"/>
  <c r="H175" i="13" s="1"/>
  <c r="I175" i="13" s="1"/>
  <c r="I1024" i="2"/>
  <c r="I1029" i="2"/>
  <c r="I1032" i="2"/>
  <c r="I1031" i="2"/>
  <c r="I1028" i="2"/>
  <c r="I1027" i="2"/>
  <c r="I1026" i="2"/>
  <c r="I1025" i="2"/>
  <c r="I985" i="2" l="1"/>
  <c r="I986" i="2"/>
  <c r="I988" i="2"/>
  <c r="I987" i="2"/>
  <c r="I984" i="2"/>
  <c r="I983" i="2"/>
  <c r="I982" i="2"/>
  <c r="I991" i="2"/>
  <c r="I990" i="2"/>
  <c r="I992" i="2"/>
  <c r="I972" i="2"/>
  <c r="I974" i="2"/>
  <c r="I973" i="2"/>
  <c r="I970" i="2"/>
  <c r="I993" i="2" l="1"/>
  <c r="H170" i="13" s="1"/>
  <c r="I170" i="13" s="1"/>
  <c r="I975" i="2"/>
  <c r="H169" i="13" s="1"/>
  <c r="I169" i="13" s="1"/>
  <c r="I962" i="2"/>
  <c r="I961" i="2"/>
  <c r="I959" i="2"/>
  <c r="I951" i="2"/>
  <c r="I950" i="2"/>
  <c r="I948" i="2"/>
  <c r="I940" i="2"/>
  <c r="I939" i="2"/>
  <c r="I937" i="2"/>
  <c r="I927" i="2"/>
  <c r="I963" i="2" l="1"/>
  <c r="H168" i="13" s="1"/>
  <c r="I168" i="13" s="1"/>
  <c r="I941" i="2"/>
  <c r="H166" i="13" s="1"/>
  <c r="I166" i="13" s="1"/>
  <c r="I952" i="2"/>
  <c r="H167" i="13" s="1"/>
  <c r="I167" i="13" s="1"/>
  <c r="I929" i="2"/>
  <c r="I930" i="2" s="1"/>
  <c r="H165" i="13" s="1"/>
  <c r="I165" i="13" s="1"/>
  <c r="I567" i="2"/>
  <c r="I876" i="2"/>
  <c r="I884" i="2"/>
  <c r="G887" i="2"/>
  <c r="G886" i="2"/>
  <c r="G883" i="2"/>
  <c r="I883" i="2" s="1"/>
  <c r="G880" i="2"/>
  <c r="I880" i="2" s="1"/>
  <c r="G882" i="2"/>
  <c r="I882" i="2" s="1"/>
  <c r="I881" i="2"/>
  <c r="I879" i="2" l="1"/>
  <c r="I878" i="2"/>
  <c r="I37" i="2"/>
  <c r="I34" i="2"/>
  <c r="I35" i="2"/>
  <c r="I36" i="2"/>
  <c r="I33" i="2"/>
  <c r="G39" i="2"/>
  <c r="I39" i="2" s="1"/>
  <c r="G40" i="2"/>
  <c r="I40" i="2" s="1"/>
  <c r="I887" i="2"/>
  <c r="I886" i="2"/>
  <c r="I888" i="2" l="1"/>
  <c r="H152" i="13" s="1"/>
  <c r="I152" i="13" s="1"/>
  <c r="I917" i="2"/>
  <c r="I919" i="2"/>
  <c r="I920" i="2" l="1"/>
  <c r="H163" i="13" s="1"/>
  <c r="I163" i="13" s="1"/>
  <c r="I909" i="2" l="1"/>
  <c r="I908" i="2"/>
  <c r="I906" i="2"/>
  <c r="I910" i="2" l="1"/>
  <c r="H162" i="13" s="1"/>
  <c r="I162" i="13" s="1"/>
  <c r="I898" i="2"/>
  <c r="I897" i="2"/>
  <c r="I895" i="2"/>
  <c r="I868" i="2"/>
  <c r="I867" i="2"/>
  <c r="I865" i="2"/>
  <c r="I863" i="2"/>
  <c r="I862" i="2"/>
  <c r="I861" i="2"/>
  <c r="I860" i="2"/>
  <c r="I899" i="2" l="1"/>
  <c r="H161" i="13" s="1"/>
  <c r="I161" i="13" s="1"/>
  <c r="I869" i="2"/>
  <c r="H151" i="13" s="1"/>
  <c r="I151" i="13" s="1"/>
  <c r="I578" i="2"/>
  <c r="I582" i="2" l="1"/>
  <c r="I581" i="2"/>
  <c r="I579" i="2"/>
  <c r="I564" i="2"/>
  <c r="I566" i="2"/>
  <c r="I565" i="2"/>
  <c r="I570" i="2"/>
  <c r="I569" i="2"/>
  <c r="I556" i="2"/>
  <c r="I555" i="2"/>
  <c r="I553" i="2"/>
  <c r="I551" i="2"/>
  <c r="I571" i="2" l="1"/>
  <c r="H102" i="13" s="1"/>
  <c r="I102" i="13" s="1"/>
  <c r="I583" i="2"/>
  <c r="H103" i="13" s="1"/>
  <c r="I103" i="13" s="1"/>
  <c r="I557" i="2"/>
  <c r="H100" i="13" s="1"/>
  <c r="I100" i="13" s="1"/>
  <c r="I542" i="2"/>
  <c r="I539" i="2"/>
  <c r="I544" i="2" l="1"/>
  <c r="H98" i="13" s="1"/>
  <c r="I98" i="13" s="1"/>
  <c r="I527" i="2" l="1"/>
  <c r="I532" i="2" s="1"/>
  <c r="H97" i="13" s="1"/>
  <c r="I97" i="13" s="1"/>
  <c r="I435" i="2" l="1"/>
  <c r="I440" i="2" s="1"/>
  <c r="H84" i="13" s="1"/>
  <c r="I84" i="13" s="1"/>
  <c r="I401" i="2" l="1"/>
  <c r="I404" i="2"/>
  <c r="I407" i="2"/>
  <c r="I410" i="2"/>
  <c r="I413" i="2"/>
  <c r="I405" i="2"/>
  <c r="G390" i="2" l="1"/>
  <c r="G388" i="2"/>
  <c r="G387" i="2"/>
  <c r="I386" i="2"/>
  <c r="I385" i="2"/>
  <c r="G384" i="2"/>
  <c r="I384" i="2" s="1"/>
  <c r="I383" i="2"/>
  <c r="I415" i="2" l="1"/>
  <c r="I414" i="2"/>
  <c r="I412" i="2"/>
  <c r="I411" i="2"/>
  <c r="I409" i="2"/>
  <c r="I406" i="2"/>
  <c r="I408" i="2"/>
  <c r="I403" i="2"/>
  <c r="I402" i="2"/>
  <c r="I400" i="2"/>
  <c r="I399" i="2"/>
  <c r="I427" i="2"/>
  <c r="I426" i="2"/>
  <c r="I391" i="2"/>
  <c r="I388" i="2"/>
  <c r="I387" i="2"/>
  <c r="I389" i="2"/>
  <c r="I390" i="2"/>
  <c r="I382" i="2"/>
  <c r="I269" i="2"/>
  <c r="I268" i="2"/>
  <c r="I270" i="2" s="1"/>
  <c r="I416" i="2" l="1"/>
  <c r="I392" i="2"/>
  <c r="H424" i="2" s="1"/>
  <c r="I424" i="2" s="1"/>
  <c r="H76" i="13"/>
  <c r="I76" i="13" s="1"/>
  <c r="I371" i="2" l="1"/>
  <c r="I368" i="2"/>
  <c r="I374" i="2"/>
  <c r="I373" i="2"/>
  <c r="I369" i="2"/>
  <c r="I360" i="2"/>
  <c r="I359" i="2"/>
  <c r="I357" i="2"/>
  <c r="I349" i="2"/>
  <c r="I348" i="2"/>
  <c r="I346" i="2"/>
  <c r="I338" i="2"/>
  <c r="I337" i="2"/>
  <c r="I335" i="2"/>
  <c r="I327" i="2"/>
  <c r="I326" i="2"/>
  <c r="I324" i="2"/>
  <c r="I316" i="2"/>
  <c r="I315" i="2"/>
  <c r="I313" i="2"/>
  <c r="I190" i="2"/>
  <c r="I189" i="2"/>
  <c r="I187" i="2"/>
  <c r="I168" i="2"/>
  <c r="I167" i="2"/>
  <c r="I165" i="2"/>
  <c r="I135" i="2"/>
  <c r="I134" i="2"/>
  <c r="I132" i="2"/>
  <c r="I124" i="2"/>
  <c r="I123" i="2"/>
  <c r="I121" i="2"/>
  <c r="I246" i="2"/>
  <c r="I244" i="2"/>
  <c r="I361" i="2" l="1"/>
  <c r="H422" i="2" s="1"/>
  <c r="I422" i="2" s="1"/>
  <c r="I375" i="2"/>
  <c r="H423" i="2" s="1"/>
  <c r="I423" i="2" s="1"/>
  <c r="I328" i="2"/>
  <c r="H419" i="2" s="1"/>
  <c r="I419" i="2" s="1"/>
  <c r="I350" i="2"/>
  <c r="H421" i="2" s="1"/>
  <c r="I421" i="2" s="1"/>
  <c r="I339" i="2"/>
  <c r="H420" i="2" s="1"/>
  <c r="I420" i="2" s="1"/>
  <c r="I317" i="2"/>
  <c r="H418" i="2" s="1"/>
  <c r="I136" i="2"/>
  <c r="H52" i="13" s="1"/>
  <c r="I52" i="13" s="1"/>
  <c r="I169" i="2"/>
  <c r="H55" i="13" s="1"/>
  <c r="I55" i="13" s="1"/>
  <c r="I191" i="2"/>
  <c r="H57" i="13" s="1"/>
  <c r="I57" i="13" s="1"/>
  <c r="I125" i="2"/>
  <c r="H51" i="13" s="1"/>
  <c r="I51" i="13" s="1"/>
  <c r="I212" i="2"/>
  <c r="I211" i="2"/>
  <c r="I209" i="2"/>
  <c r="I249" i="2"/>
  <c r="I248" i="2"/>
  <c r="I245" i="2"/>
  <c r="I236" i="2"/>
  <c r="I235" i="2"/>
  <c r="I233" i="2"/>
  <c r="I232" i="2"/>
  <c r="I221" i="2"/>
  <c r="I220" i="2"/>
  <c r="I224" i="2"/>
  <c r="I223" i="2"/>
  <c r="I418" i="2" l="1"/>
  <c r="I237" i="2"/>
  <c r="H67" i="13" s="1"/>
  <c r="I67" i="13" s="1"/>
  <c r="I213" i="2"/>
  <c r="H63" i="13" s="1"/>
  <c r="I63" i="13" s="1"/>
  <c r="I250" i="2"/>
  <c r="H68" i="13" s="1"/>
  <c r="I68" i="13" s="1"/>
  <c r="I225" i="2"/>
  <c r="H66" i="13" s="1"/>
  <c r="I66" i="13" s="1"/>
  <c r="I428" i="2" l="1"/>
  <c r="H82" i="13" s="1"/>
  <c r="I82" i="13" s="1"/>
  <c r="I43" i="2"/>
  <c r="I44" i="2"/>
  <c r="I41" i="2"/>
  <c r="I45" i="2" l="1"/>
  <c r="H35" i="13" l="1"/>
  <c r="I35" i="13" s="1"/>
  <c r="I29" i="13" s="1"/>
  <c r="E9" i="11" s="1"/>
  <c r="H147" i="13"/>
  <c r="I147" i="13" s="1"/>
  <c r="I1033" i="2"/>
  <c r="H174" i="13" s="1"/>
  <c r="I174" i="13" s="1"/>
  <c r="I172" i="13" s="1"/>
  <c r="E12" i="11" s="1"/>
  <c r="F6" i="2"/>
  <c r="F7" i="2" s="1"/>
  <c r="I142" i="13" l="1"/>
  <c r="E11" i="11" s="1"/>
  <c r="F16" i="14" s="1"/>
  <c r="F19" i="14"/>
  <c r="F10" i="14"/>
  <c r="I7" i="2"/>
  <c r="I6" i="2"/>
  <c r="S12" i="14" l="1"/>
  <c r="K12" i="14"/>
  <c r="T12" i="14"/>
  <c r="I12" i="14"/>
  <c r="P12" i="14"/>
  <c r="O12" i="14"/>
  <c r="Q12" i="14"/>
  <c r="U12" i="14"/>
  <c r="L12" i="14"/>
  <c r="N12" i="14"/>
  <c r="M12" i="14"/>
  <c r="J12" i="14"/>
  <c r="V12" i="14"/>
  <c r="R12" i="14"/>
  <c r="S21" i="14"/>
  <c r="Q21" i="14"/>
  <c r="O21" i="14"/>
  <c r="P21" i="14"/>
  <c r="R21" i="14"/>
  <c r="S18" i="14"/>
  <c r="R18" i="14"/>
  <c r="T18" i="14"/>
  <c r="Q18" i="14"/>
  <c r="O18" i="14"/>
  <c r="P18" i="14"/>
  <c r="I8" i="2"/>
  <c r="H11" i="13" s="1"/>
  <c r="I11" i="13" s="1"/>
  <c r="I8" i="13" s="1"/>
  <c r="AE21" i="14" l="1"/>
  <c r="AF21" i="14" s="1"/>
  <c r="AE12" i="14"/>
  <c r="AF12" i="14" s="1"/>
  <c r="AE18" i="14"/>
  <c r="AF18" i="14" s="1"/>
  <c r="I247" i="13"/>
  <c r="I249" i="13" s="1"/>
  <c r="I251" i="13" s="1"/>
  <c r="E7" i="11"/>
  <c r="F4" i="14" l="1"/>
  <c r="E20" i="11"/>
  <c r="I265" i="13"/>
  <c r="I267" i="13" s="1"/>
  <c r="I269" i="13" s="1"/>
  <c r="AB6" i="14" l="1"/>
  <c r="AD6" i="14"/>
  <c r="AA6" i="14"/>
  <c r="AC6" i="14"/>
  <c r="Q6" i="14"/>
  <c r="T6" i="14"/>
  <c r="X6" i="14"/>
  <c r="R6" i="14"/>
  <c r="O6" i="14"/>
  <c r="G6" i="14"/>
  <c r="K6" i="14"/>
  <c r="L6" i="14"/>
  <c r="J6" i="14"/>
  <c r="W6" i="14"/>
  <c r="H6" i="14"/>
  <c r="M6" i="14"/>
  <c r="S6" i="14"/>
  <c r="P6" i="14"/>
  <c r="Y6" i="14"/>
  <c r="U6" i="14"/>
  <c r="I6" i="14"/>
  <c r="V6" i="14"/>
  <c r="Z6" i="14"/>
  <c r="N6" i="14"/>
  <c r="D18" i="11"/>
  <c r="D17" i="11"/>
  <c r="D8" i="11"/>
  <c r="D16" i="11"/>
  <c r="D14" i="11"/>
  <c r="D13" i="11"/>
  <c r="C46" i="14"/>
  <c r="D19" i="11"/>
  <c r="D15" i="11"/>
  <c r="D10" i="11"/>
  <c r="D11" i="11"/>
  <c r="D9" i="11"/>
  <c r="D12" i="11"/>
  <c r="D7" i="11"/>
  <c r="AE6" i="14" l="1"/>
  <c r="AF6" i="14" s="1"/>
  <c r="Q43" i="14"/>
  <c r="D20" i="11"/>
  <c r="AC43" i="14" l="1"/>
  <c r="AA43" i="14"/>
  <c r="Y43" i="14"/>
  <c r="W43" i="14"/>
  <c r="S43" i="14"/>
  <c r="O43" i="14"/>
  <c r="M43" i="14"/>
  <c r="K43" i="14"/>
  <c r="U43" i="14"/>
  <c r="I43" i="14"/>
  <c r="G46" i="14"/>
  <c r="I46" i="14" s="1"/>
  <c r="K46" i="14" s="1"/>
  <c r="M46" i="14" s="1"/>
  <c r="O46" i="14" s="1"/>
  <c r="Q46" i="14" s="1"/>
  <c r="S46" i="14" s="1"/>
  <c r="U46" i="14" s="1"/>
  <c r="W46" i="14" s="1"/>
  <c r="Y46" i="14" s="1"/>
  <c r="AA46" i="14" s="1"/>
  <c r="AC46" i="14" s="1"/>
  <c r="G43" i="14"/>
  <c r="G44" i="14" s="1"/>
  <c r="I44" i="14" l="1"/>
  <c r="K44" i="14" s="1"/>
  <c r="M44" i="14" s="1"/>
  <c r="O44" i="14" s="1"/>
  <c r="Q44" i="14" s="1"/>
  <c r="S44" i="14" s="1"/>
  <c r="U44" i="14" s="1"/>
  <c r="W44" i="14" s="1"/>
  <c r="Y44" i="14" s="1"/>
  <c r="AA44" i="14" s="1"/>
  <c r="AC44" i="14" s="1"/>
</calcChain>
</file>

<file path=xl/sharedStrings.xml><?xml version="1.0" encoding="utf-8"?>
<sst xmlns="http://schemas.openxmlformats.org/spreadsheetml/2006/main" count="6035" uniqueCount="1249">
  <si>
    <t>Item</t>
  </si>
  <si>
    <t>SINAPI</t>
  </si>
  <si>
    <t>H</t>
  </si>
  <si>
    <t>ELETRICISTA COM ENCARGOS COMPLEMENTARES</t>
  </si>
  <si>
    <t>MES</t>
  </si>
  <si>
    <t>CAMINHÃO TOCO, PBT 14.300 KG, CARGA ÚTIL MÁX. 9.710 KG, DIST. ENTRE EIXOS 3,56 M, POTÊNCIA 185 CV, INCLUSIVE CARROCERIA FIXA ABERTA DE MADEIRA P/ TRANSPORTE GERAL DE CARGA SECA, DIMEN. APROX. 2,50 X 6,50 X 0,50 M - CHP DIURNO. (FRETE DE MATERIAIS DIVERSOS)</t>
  </si>
  <si>
    <t>CHP</t>
  </si>
  <si>
    <t>UN</t>
  </si>
  <si>
    <t>M</t>
  </si>
  <si>
    <t>ORSE</t>
  </si>
  <si>
    <t>TOMADAS E INTERRUPTORES</t>
  </si>
  <si>
    <t>CONJUNTO PARA CONDULETE DE 3/4" (20MM) COM UMA (1) TOMADA PADRÃO, TRÊS (3) POLOS, CORRENTE 10A, TENSÃO 250V, (2P+T/10A-250V) E PLACA DE UM (1) POSTO, INCLUSIVE FORNECIMENTO, INSTALAÇÃO, SUPORTE, MÓDULO E PLACA, EXCLUSIVE CONDULETE</t>
  </si>
  <si>
    <t>CONJUNTO PARA CONDULETE DE 3/4" (20MM) COM UMA (1) TOMADA PADRÃO, TRÊS (3) POLOS, CORRENTE 20A, TENSÃO 250V, (2P+T/20A-250V) E PLACA DE UM (1) POSTO, INCLUSIVE FORNECIMENTO, INSTALAÇÃO, SUPORTE, MÓDULO E PLACA, EXCLUSIVE CONDULETE</t>
  </si>
  <si>
    <t>ILUMINAÇÃO INTERNA</t>
  </si>
  <si>
    <t>ILUMINAÇÃO EXTERNA</t>
  </si>
  <si>
    <t>AR CONDICIONADO</t>
  </si>
  <si>
    <t>ABRIGO PARA HIDRANTE, 75X45X17CM, COM REGISTRO GLOBO ANGULAR 45º 2.1/2", ADAPTADOR STORZ 2.1/2", MANGUEIRA DE INCÊNDIO 15M, REDUÇÃO 2.1/2X1.1/2" E ESGUICHO EM LATÃO 1.1/2" - FORNECIMENTO E INSTALAÇÃO</t>
  </si>
  <si>
    <t>ELABORAÇÃO DE PROJETO "AS BUIT" DAS INSTALAÇÕES EXECUTADAS</t>
  </si>
  <si>
    <t>ITEM</t>
  </si>
  <si>
    <t>ATIVIDADE</t>
  </si>
  <si>
    <t>UNID.</t>
  </si>
  <si>
    <t>INSUMOS</t>
  </si>
  <si>
    <t>UND.</t>
  </si>
  <si>
    <t>QUANT.</t>
  </si>
  <si>
    <t>ÍNDICE</t>
  </si>
  <si>
    <t>UNITÁRIO</t>
  </si>
  <si>
    <t>TOTAL</t>
  </si>
  <si>
    <t>COMPOSIÇÕES</t>
  </si>
  <si>
    <t>MÃO DE OBRA</t>
  </si>
  <si>
    <t>CUSTO TOTAL UNITÁRIO</t>
  </si>
  <si>
    <t>Obs:</t>
  </si>
  <si>
    <t>Poconé x Cuiabá x Poconé = 220Km</t>
  </si>
  <si>
    <t>Transporte de qualquer natureza</t>
  </si>
  <si>
    <t xml:space="preserve">ADMINISTRAÇÃO LOCAL </t>
  </si>
  <si>
    <t xml:space="preserve">CAMINHÃO TOCO, PBT 14.300 KG, CARGA ÚTIL MÁX. 9.710 KG, DIST. ENTRE EIXOS 3,56 M, POTÊNCIA 185 CV, INCLUSIVE CARROCERIA FIXA ABERTA DE MADEI RA P/ TRANSPORTE GERAL DE CARGA SECA, DIMEN. APROX. 2,50 X 6,50 X 0,50 M - CHI DIURNO. </t>
  </si>
  <si>
    <t xml:space="preserve">CHI </t>
  </si>
  <si>
    <t>CANTEIRO DE OBRAS</t>
  </si>
  <si>
    <t>M2</t>
  </si>
  <si>
    <t>PPRA (NR-9)</t>
  </si>
  <si>
    <t xml:space="preserve">MONTAGEM E DESMONTAGEM DE ANDAIME TUBULAR TIPO TORRE (EXCLUSIVE ANDAIME E LIMPEZA). </t>
  </si>
  <si>
    <t>LOCACAO DE ANDAIME METALICO TUBULAR DE ENCAIXE, TIPO DE TORRE, COM LARGURA DE 1 ATE 1,5 M E ALTURA DE *1,00* M (INCLUSO SAPATAS FIXAS OU RODIZIOS)</t>
  </si>
  <si>
    <t>MÊS</t>
  </si>
  <si>
    <t>0005</t>
  </si>
  <si>
    <t>SERVENTE COM ENCARGOS COMPLEMENTARES</t>
  </si>
  <si>
    <t>Estimativa CHP</t>
  </si>
  <si>
    <t xml:space="preserve">Poconé x Cuibá x Poconé = 2,75 horas (80Km/h) </t>
  </si>
  <si>
    <t>Tempo de percurso dentro de Cuiabá = 3,25 horas , Total 6h</t>
  </si>
  <si>
    <t>2x por semana ida e volta a Cuiabá</t>
  </si>
  <si>
    <t>0001</t>
  </si>
  <si>
    <t>Comp.</t>
  </si>
  <si>
    <t xml:space="preserve">TRANSPORTE DE QUALQUER NATUREZA </t>
  </si>
  <si>
    <t>ENGENHEIRO ELETRICISTA COM ENCARGOS COMPLEMENTARES (8 HORAS SEMANAIS)</t>
  </si>
  <si>
    <t>0002</t>
  </si>
  <si>
    <t>2.1</t>
  </si>
  <si>
    <t>2.2</t>
  </si>
  <si>
    <t>2.3</t>
  </si>
  <si>
    <t>2.4</t>
  </si>
  <si>
    <t>2.5</t>
  </si>
  <si>
    <t>2.6</t>
  </si>
  <si>
    <t>2.7</t>
  </si>
  <si>
    <t>1,034120846</t>
  </si>
  <si>
    <t>0,075</t>
  </si>
  <si>
    <t>0,208</t>
  </si>
  <si>
    <t>0,129</t>
  </si>
  <si>
    <t>0003</t>
  </si>
  <si>
    <t>2.8</t>
  </si>
  <si>
    <t>3.1</t>
  </si>
  <si>
    <t>3.2</t>
  </si>
  <si>
    <t>3.3</t>
  </si>
  <si>
    <t>3.4</t>
  </si>
  <si>
    <t>3.5</t>
  </si>
  <si>
    <t>3.6</t>
  </si>
  <si>
    <t>3.7</t>
  </si>
  <si>
    <t>3.8</t>
  </si>
  <si>
    <t>0004</t>
  </si>
  <si>
    <t>0,125</t>
  </si>
  <si>
    <t>1,7969</t>
  </si>
  <si>
    <t>0,0401</t>
  </si>
  <si>
    <t>16,4063</t>
  </si>
  <si>
    <t>AREIA MEDIA - POSTO JAZIDA/FORNECEDOR (RETIRADO NA JAZIDA, SEM TRANSPORTE)</t>
  </si>
  <si>
    <t>M3</t>
  </si>
  <si>
    <t>CIMENTO PORTLAND COMPOSTO CP II-32</t>
  </si>
  <si>
    <t>KG</t>
  </si>
  <si>
    <t xml:space="preserve">PEDRA BRITADA N. 1 (9,5 a 19 MM) POSTO PEDREIRA/FORNECEDOR, SEM FRETE </t>
  </si>
  <si>
    <t xml:space="preserve">PEDRA BRITADA N. 2 (19 A 38 MM) POSTO PEDREIRA/FORNECEDOR, SEM FRETE </t>
  </si>
  <si>
    <t xml:space="preserve">CHP </t>
  </si>
  <si>
    <t>BETONEIRA CAPACIDADE NOMINAL DE 400 L, CAPACIDADE DE MISTURA 280 L, MOTOR ELÉTRICO TRIFÁSICO POTÊNCIA DE 2 CV, SEM CARREGADOR - CHP DIURNO</t>
  </si>
  <si>
    <t>PEDREIRO COM ENCARGOS COMPLEMENTARES</t>
  </si>
  <si>
    <t>Composição de referencia - IOPS 150701</t>
  </si>
  <si>
    <t>4.1</t>
  </si>
  <si>
    <t>4.2</t>
  </si>
  <si>
    <t>5.1</t>
  </si>
  <si>
    <t>5.2</t>
  </si>
  <si>
    <t>5.3</t>
  </si>
  <si>
    <t>5.4</t>
  </si>
  <si>
    <t xml:space="preserve">AUXILIAR DE ELETRICISTA COM ENCARGOS COMPLEMENTARES </t>
  </si>
  <si>
    <t>TAMPA PARA CONDULETE, EM PVC, PARA 1 INTERRUPTOR</t>
  </si>
  <si>
    <t>TOMADA 2P+T 10A, 250V (APENAS MODULO)</t>
  </si>
  <si>
    <t>0007</t>
  </si>
  <si>
    <t>Composição de referencia - SETOP  ED-17978</t>
  </si>
  <si>
    <t>Composição de referencia - SETOP ED-49116</t>
  </si>
  <si>
    <t>0006</t>
  </si>
  <si>
    <t>TOMADA 2P+T 20A, 250V (APENAS MODULO)</t>
  </si>
  <si>
    <t>PINTURA DE SINALIZAÇÃO VERTICAL DE SEGURANÇA, FAIXAS AMARELA E PRETA, APLICAÇÃO MANUAL, 2 DEMÃOS</t>
  </si>
  <si>
    <t>MxMÊS</t>
  </si>
  <si>
    <t>0008</t>
  </si>
  <si>
    <t>Composição de referencia - ORSE 00390</t>
  </si>
  <si>
    <t>CONDULETE TIPO "LL" DE 3/4" EM ALUMÍNIO FUNDIDO A PROVA DE TEMPO, GASES, VAPORES E PÓS.</t>
  </si>
  <si>
    <t xml:space="preserve">	00646</t>
  </si>
  <si>
    <t>Conjunto para condulete de 3/4" (20mm) com uma tomada padrão, (2p+t/10A-250V) e placa , inclusive fornecimento exclusive condulete</t>
  </si>
  <si>
    <t>Conjunto para condulete de 3/4" (20mm) com uma tomada padrão, (2p+t/20A-250V) e placa , inclusive fornecimento exclusive condulete</t>
  </si>
  <si>
    <t>Ponto de tomada 2p+t, ABNT, 20 A, de uso geral, em pisos, com eletroduto rígido embutido, inclusive aterramento</t>
  </si>
  <si>
    <t xml:space="preserve">FITA ISOLANTE ADESIVA ANTICHAMA, USO ATE 750 V, EM ROLO DE 19 MM X 20 M </t>
  </si>
  <si>
    <t>CAIXA DE LUZ "4 X 2" EM ACO ESMALTADA</t>
  </si>
  <si>
    <t>TOMADA 2P+T, ABNT, 10A, PARA PISO, COM PLACA EM METAL AMARELO</t>
  </si>
  <si>
    <t>CABO DE COBRE FLEXÍVEL ISOLADO, 6 MM², ANTI-CHAMA 0,6/1,0 KV, PARA CIRCUITOS TERMINAIS - FORNECIMENTO E INSTALAÇÃO</t>
  </si>
  <si>
    <t>FITA DE ADVERTÊNCIA DE REDE ELÉTRICA ENTERRADA</t>
  </si>
  <si>
    <t>0009</t>
  </si>
  <si>
    <t>0010</t>
  </si>
  <si>
    <t>CABO DE COBRE ISOLADO EPR, FLEXIVEL, 25MM², 0,6/1KV / 90º C (EPROTENAX-G7 OU SIMILAR)</t>
  </si>
  <si>
    <t>Composição de referencia - ORSE 03296</t>
  </si>
  <si>
    <t>Composição de referencia - ORSE 08070</t>
  </si>
  <si>
    <t>0011</t>
  </si>
  <si>
    <t>CABO DE COBRE ISOLADO EPR, FLEXIVEL, 35MM², 0,6/1KV / 90º C (EPROTENAX-G7 OU SIMILAR)</t>
  </si>
  <si>
    <t>Composição de referencia - ORSE 07916</t>
  </si>
  <si>
    <t>0012</t>
  </si>
  <si>
    <t>CABO DE COBRE ISOLADO EPR, FLEXIVEL, 95MM², 0,6/1KV / 90º C (EPROTENAX-G7 OU SIMILAR)</t>
  </si>
  <si>
    <t>Composição de referencia - ORSE 07918</t>
  </si>
  <si>
    <t>0013</t>
  </si>
  <si>
    <t>Composição de referencia - ORSE 08073</t>
  </si>
  <si>
    <t>0014</t>
  </si>
  <si>
    <t>0015</t>
  </si>
  <si>
    <t>0016</t>
  </si>
  <si>
    <t>0017</t>
  </si>
  <si>
    <t>0018</t>
  </si>
  <si>
    <t>Condulete em alumínio tipo LL de 3/4" - Fornecimento e Instalação</t>
  </si>
  <si>
    <t>Cabo de cobre isolado em EPR flexível unipolar 25mm² - 0,6Kv/1Kv/90° - Fornecimento e Instalação</t>
  </si>
  <si>
    <t>Cabo de cobre isolado em EPR flexível unipolar 35mm² - 0,6Kv/1Kv/90° - Fornecimento e Instalação</t>
  </si>
  <si>
    <t>Cabo de cobre isolado em EPR flexível unipolar 95mm² - 0,6Kv/1Kv/90° - Fornecimento e Instalação</t>
  </si>
  <si>
    <t>0019</t>
  </si>
  <si>
    <t>6.1</t>
  </si>
  <si>
    <t>0021</t>
  </si>
  <si>
    <t>Cruzeta polimérica 90x112x2400mm - Fornecimento e Instalação</t>
  </si>
  <si>
    <t>CRUZETA POLIMÉRICA 90X112X2400MM - FORNECIMENTO E INSTALAÇÃO</t>
  </si>
  <si>
    <t>0022</t>
  </si>
  <si>
    <t>Cinta de poste circular 250mm - Fornecimento e Instalação</t>
  </si>
  <si>
    <t>CINTA CIRCULAR EM ACO GALVANIZADO DE 210 MM DE DIAMETRO PARA INSTALACAO DE TRANSFORMADOR EM POSTE DE CONCRETO</t>
  </si>
  <si>
    <t>CINTA DE POSTE CIRCULAR 250MM - FORNECIMENTO E INSTALAÇÃO</t>
  </si>
  <si>
    <t>0023</t>
  </si>
  <si>
    <t>Pino isolador para cruzeta polimérica 15KV - Fornecimento e Instalação</t>
  </si>
  <si>
    <t>ISOLADOR DE PORCELANA, TIPO PINO MONOCORPO, PARA TENSAO DE *15* KV</t>
  </si>
  <si>
    <t>Composição de referencia - AGETOP/CIVIL 071110</t>
  </si>
  <si>
    <t>Composição de referencia - SEDOP 171158</t>
  </si>
  <si>
    <t>Composição de referencia - AGETOP/CIVIL 071973</t>
  </si>
  <si>
    <t>PINO ISOLADOR PARA CRUZETA POLIMÉRICA 15KV - FORNECIMENTO E INSTALAÇÃO</t>
  </si>
  <si>
    <t>0024</t>
  </si>
  <si>
    <t>Composição de referencia - ORSE 09037</t>
  </si>
  <si>
    <t>ELETRODUTO FERRO GALVANIZADO ELETROLITICO - LEVE, D= 3" - FORNECIMENTO E INSTALAÇÃO</t>
  </si>
  <si>
    <t>0025</t>
  </si>
  <si>
    <t>Composição de referencia - ORSE 12877</t>
  </si>
  <si>
    <t>MUFLA PARA CABO 25/120MM² - 12/20 KV - INTERNO/EXTERNO</t>
  </si>
  <si>
    <t>Mufla terminal primaria unipolar uso interno para cabo 35/120mm2 isolacao 15/25kv em EPR - Fornecimento e Instalação</t>
  </si>
  <si>
    <t>MUFLA TERMINAL PRIMARIA UNIPOLAR USO INTERNO PARA CABO 35/120MM2 ISOLACAO 15/25KV EM EPR - FORNECIMENTO E INSTALAÇÃO</t>
  </si>
  <si>
    <t>0026</t>
  </si>
  <si>
    <t>Poste de concreto seção circular, 11/1000 - Fornecimento e Instalação</t>
  </si>
  <si>
    <t>POSTE CIRCULAR DE CONCRETO 11/1000</t>
  </si>
  <si>
    <t>GUINDAUTO HIDRÁULICO, CAPACIDADE MÁXIMA DE CARGA 6200 KG, MOMENTO MÁXIMO DE CARGA 11,7 TM, ALCANCE MÁXIMO HORIZONTAL 9,70 M, INCLUSIVE CAMINHÃO TOCO PBT 16.000 KG, POTÊNCIA DE 189 CV - CHP DIURNO</t>
  </si>
  <si>
    <t>Composição de referencia - SINAPI 100583</t>
  </si>
  <si>
    <t>CABO DE COBRE NU 35 MM2 MEIO-DURO</t>
  </si>
  <si>
    <t>POSTE DE CONCRETO SEÇÃO CIRCULAR, 11/1000 - FORNECIMENTO E INSTALAÇÃO</t>
  </si>
  <si>
    <t>ELETRODUTO FLEXÍVEL CORRUGADO, PEAD, DN 90 (3) - FORNECIMENTO E INSTALAÇÃO</t>
  </si>
  <si>
    <t>ELETRODUTO FLEXÍVEL CORRUGADO, PEAD, DN 100 (4) - FORNECIMENTO E INSTALAÇÃO</t>
  </si>
  <si>
    <t>ELETRODUTO DE AÇO GALVANIZADO, CLASSE LEVE, DN 25 MM (1), APARENTE, INSTALADO EM TETO - FORNECIMENTO E INSTALAÇÃO</t>
  </si>
  <si>
    <t>ELETRODUTO DE AÇO GALVANIZADO, CLASSE LEVE, DN 20 MM (3/4), APARENTE, INSTALADO EM PAREDE - FORNECIMENTO E INSTALAÇÃO</t>
  </si>
  <si>
    <t>ELETRODUTO FERRO GALVANIZADO ELETROLITICO - LEVE, D= 4" - FORNECIMENTO E INSTALAÇÃO</t>
  </si>
  <si>
    <t>CABO DE COBRE FLEXÍVEL ISOLADO, 4 MM², ANTI-CHAMA 0,6/1,0 KV, PARA CIRCUITOS TERMINAIS - FORNECIMENTO E INSTALAÇÃO</t>
  </si>
  <si>
    <t>CABO DE COBRE ISOLADO EM EPR FLEXÍVEL UNIPOLAR 25MM² - 0,6KV/1KV/90° - FORNECIMENTO E INSTALAÇÃO</t>
  </si>
  <si>
    <t>CABO DE COBRE ISOLADO EM EPR FLEXÍVEL UNIPOLAR 35MM² - 0,6KV/1KV/90° - FORNECIMENTO E INSTALAÇÃO</t>
  </si>
  <si>
    <t>CABO DE COBRE ISOLADO EM EPR FLEXÍVEL UNIPOLAR 95MM² - 0,6KV/1KV/90° - FORNECIMENTO E INSTALAÇÃO</t>
  </si>
  <si>
    <t>CABO DE COBRE FLEXÍVEL ISOLADO, 2,5 MM², ANTI-CHAMA 0,6/1,0 KV, PARA CIRCUITOS TERMINAIS - FORNECIMENTO E INSTALAÇÃO</t>
  </si>
  <si>
    <t>CONDULETE DE ALUMÍNIO, TIPO X, PARA ELETRODUTO DE AÇO GALVANIZADO DN 20 MM (3/4''), APARENTE - FORNECIMENTO E INSTALAÇÃO</t>
  </si>
  <si>
    <t>PONTO DE TOMADA 2P+T, ABNT, 20 A, DE USO GERAL, EM PISOS, COM ELETRODUTO RÍGIDO EMBUTIDO, INCLUSIVE ATERRAMENTO - FORNECIMENTO E INSTALAÇÃO</t>
  </si>
  <si>
    <t>ESPELHO / PLACA CEGA 4" X 2", PARA INSTALACAO DE TOMADAS E INTERRUPTORES - FORNECIMENTO E INSTALAÇÃO</t>
  </si>
  <si>
    <t>0027</t>
  </si>
  <si>
    <t>0028</t>
  </si>
  <si>
    <t>IMPERMEABILIZAÇÃO DE PISO COM ARGAMASSA DE CIMENTO E AREIA, COM ADITIVO IMPERMEABILIZANTE, E = 2CM</t>
  </si>
  <si>
    <t>CHAPISCO APLICADO EM ALVENARIAS E ESTRUTURAS DE CONCRETO INTERNAS, COM 
COLHER DE PEDREIRO. ARGAMASSA TRAÇO 1:3 COM PREPARO MANUAL.</t>
  </si>
  <si>
    <t>MASSA ÚNICA, PARA RECEBIMENTO DE PINTURA, EM ARGAMASSA TRAÇO 1:2:8, PR 
EPARO MECÂNICO COM BETONEIRA 400L, APLICADA MANUALMENTE EM FACES INTER
NAS DE PAREDES, ESPESSURA DE 20MM, COM EXECUÇÃO DE TALISCAS.</t>
  </si>
  <si>
    <t>0029</t>
  </si>
  <si>
    <t>Composição de referencia - ORSE 11377</t>
  </si>
  <si>
    <t>Composição de referencia - EMOP 15.011.0162</t>
  </si>
  <si>
    <t>HASTE DE ATERRAMENTO EM ACO COM 3,00 M DE COMPRIMENTO E DN = 5/8", REVESTIDA COM BAIXA CAMADA DE COBRE, COM CONECTOR TIPO GRAMPO</t>
  </si>
  <si>
    <t xml:space="preserve">CABO DE COBRE NU 50 MM2 MEIO-DURO </t>
  </si>
  <si>
    <t xml:space="preserve">ISOLADOR DE PORCELANA, TIPO PINO MONOCORPO, PARA TENSAO DE *15* KV </t>
  </si>
  <si>
    <t>PARA RAIOS TIPO POLIMÉRICO 15KV - 12KA</t>
  </si>
  <si>
    <t>ARRUELA QUADRADA EM ACO GALVANIZADO, DIMENSAO = 38 MM, ESPESSURA = 3MM, DIAMETRO DO FURO= 18 MM</t>
  </si>
  <si>
    <t>PARAFUSO FRANCES M16 EM ACO GALVANIZADO, COMPRIMENTO = 150 MM, DIAMETRO = 16 
MM, CABECA ABAULADA</t>
  </si>
  <si>
    <t xml:space="preserve">PARAFUSO M16 EM ACO GALVANIZADO, COMPRIMENTO = 300 MM, DIAMETRO = 16 MM, </t>
  </si>
  <si>
    <t>PORCA QUADRADA ROSCA DN 16 MM</t>
  </si>
  <si>
    <t>SELA PARA CRUZETA</t>
  </si>
  <si>
    <t>FITA DE ALUMINIO PARA PROTECAO DO CONDUTOR LARGURA 10 MM</t>
  </si>
  <si>
    <t>ELO FUSÍVEL</t>
  </si>
  <si>
    <t xml:space="preserve">TERMINAL A COMPRESSAO EM COBRE ESTANHADO PARA CABO 120 MM2, 1 FURO E 1 COMPRESSAO, PARA PARAFUSO DE FIXACAO M12 </t>
  </si>
  <si>
    <t>CHAVE FUSIVEL PARA REDES DE DISTRIBUICAO, TENSAO DE 15,0 KV, CORRENTE NOMINAL  DO PORTA FUSIVEL DE 100 A, CAPACIDADE DE INTERRUPCAO SIMETRICA DE 7,10 KA,</t>
  </si>
  <si>
    <t xml:space="preserve">CONECTOR METALICO TIPO PARAFUSO FENDIDO (SPLIT BOLT), COM SEPARADOR DE CABOS BIMETALICOS, PARA CABOS ATE 50 MM2  </t>
  </si>
  <si>
    <t>CAIXA DE MEDIÇÃO INDIRETA EM CHAPA DE AÇO DIM. 1,50 X 0,60 X 0,30 M</t>
  </si>
  <si>
    <t>Cotação</t>
  </si>
  <si>
    <t>PREPARO DE FUNDO DE VALA COM LARGURA MENOR QUE 1,5 M (ACERTO DO SOLO NATURAL)</t>
  </si>
  <si>
    <t>EXECUÇÃO DE RADIER, ESPESSURA DE 10 CM, FCK = 30 MPA, COM USO DE FORMAS EM MADEIRA SERRADA</t>
  </si>
  <si>
    <t>FABRICAÇÃO DE FÔRMA PARA LAJES, EM CHAPA DE MADEIRA COMPENSADA RESINADA, E = 17 MM</t>
  </si>
  <si>
    <t>CORTE E DOBRA DE AÇO CA-60, DIÂMETRO DE 4,2 MM, UTILIZADO EM LAJE</t>
  </si>
  <si>
    <t>CONCRETO FCK = 15MPA, TRAÇO 1:3,4:3,5 (EM MASSA SECA DE CIMENTO/ AREIA
MÉDIA/ BRITA 1) - PREPARO MECÂNICO COM BETONEIRA 600 L</t>
  </si>
  <si>
    <t>APLICAÇÃO MANUAL DE PINTURA COM TINTA LÁTEX ACRÍLICA EM PAREDES, DUAS 
DEMÃOS</t>
  </si>
  <si>
    <t>Mureta de medição em alvenaria com laje em concreto impermeabilizada</t>
  </si>
  <si>
    <t>MURETA DE MEDIÇÃO EM ALVENARIA COM LAJE EM CONCRETO IMPERMEABILIZADA</t>
  </si>
  <si>
    <t>ELETRODUTO FERRO GALVANIZADO ELETROLITICO - LEVE, D= 4</t>
  </si>
  <si>
    <t>PARAFUSO ROSCA DUPLA 16 X 200MM</t>
  </si>
  <si>
    <t>CRUZETA POLIMÉRICA 90X90X2000 MM</t>
  </si>
  <si>
    <t xml:space="preserve">	Eletroduto ferro galvanizado eletrolitico - leve, d= 4" - Fornecimento e Instalação</t>
  </si>
  <si>
    <t>0030</t>
  </si>
  <si>
    <r>
      <t xml:space="preserve">CONDULETE DE ALUMÍNIO, TIPO </t>
    </r>
    <r>
      <rPr>
        <b/>
        <sz val="10"/>
        <color rgb="FF000000"/>
        <rFont val="Arial"/>
        <family val="2"/>
      </rPr>
      <t>C</t>
    </r>
    <r>
      <rPr>
        <sz val="10"/>
        <color rgb="FF000000"/>
        <rFont val="Arial"/>
        <family val="2"/>
      </rPr>
      <t>, PARA ELETRODUTO DE AÇO GALVANIZADO DN 2 0 MM (3/4''), APARENTE - FORNECIMENTO E INSTALAÇÃO</t>
    </r>
  </si>
  <si>
    <r>
      <t xml:space="preserve">CONDULETE DE ALUMÍNIO, TIPO </t>
    </r>
    <r>
      <rPr>
        <b/>
        <sz val="10"/>
        <color rgb="FF000000"/>
        <rFont val="Arial"/>
        <family val="2"/>
      </rPr>
      <t>E</t>
    </r>
    <r>
      <rPr>
        <sz val="10"/>
        <color rgb="FF000000"/>
        <rFont val="Arial"/>
        <family val="2"/>
      </rPr>
      <t>, PARA ELETRODUTO DE AÇO GALVANIZADO DN 20 MM (3/4''), APARENTE - FORNECIMENTO E INSTALAÇÃO</t>
    </r>
  </si>
  <si>
    <r>
      <t>CONDULETE EM ALUMÍNIO TIPO</t>
    </r>
    <r>
      <rPr>
        <b/>
        <sz val="10"/>
        <color rgb="FF000000"/>
        <rFont val="Arial"/>
        <family val="2"/>
      </rPr>
      <t xml:space="preserve"> LL</t>
    </r>
    <r>
      <rPr>
        <sz val="10"/>
        <color rgb="FF000000"/>
        <rFont val="Arial"/>
        <family val="2"/>
      </rPr>
      <t xml:space="preserve"> DE 3/4" - FORNECIMENTO E INSTALAÇÃO</t>
    </r>
  </si>
  <si>
    <r>
      <t xml:space="preserve">CONDULETE DE ALUMÍNIO, TIPO </t>
    </r>
    <r>
      <rPr>
        <b/>
        <sz val="10"/>
        <color rgb="FF000000"/>
        <rFont val="Arial"/>
        <family val="2"/>
      </rPr>
      <t>T</t>
    </r>
    <r>
      <rPr>
        <sz val="10"/>
        <color rgb="FF000000"/>
        <rFont val="Arial"/>
        <family val="2"/>
      </rPr>
      <t>, PARA ELETRODUTO DE AÇO GALVANIZADO DN 20MM (3/4''), APARENTE - FORNECIMENTO E INSTALAÇÃO</t>
    </r>
  </si>
  <si>
    <t>0031</t>
  </si>
  <si>
    <t>LUMINÁRIA DECORATIVA PARA ÁREAS EXTERNAS</t>
  </si>
  <si>
    <t>Composição de referencia - ORSE 10747</t>
  </si>
  <si>
    <t>LAMPADA 25W BRANCA BIV ALTA POTENCIA SUPERLED</t>
  </si>
  <si>
    <t>0032</t>
  </si>
  <si>
    <t>Luminária de Led 50W - Fornecimento e Instalação</t>
  </si>
  <si>
    <t>LUMINÁRIA DE LED HIGH BAY UFO 50W</t>
  </si>
  <si>
    <t>Poste de concreto seção circular, 9/150 - Fornecimento e Instalação</t>
  </si>
  <si>
    <t>POSTE DE CONCRETO ARMADO DE SECAO CIRCULAR, EXTENSAO DE 9,00 M, RESISTENCIA DE 200 A 300 DAN</t>
  </si>
  <si>
    <t>POSTE DE CONCRETO SEÇÃO CIRCULAR, 9/150 - FORNECIMENTO E INSTALAÇÃO</t>
  </si>
  <si>
    <t>0033</t>
  </si>
  <si>
    <t>BRAÇO PARA ILUMINAÇÃO PÚBLICA, EM TUBO DE AÇO GALVANIZADO, COMPRIMENTO DE 1,50 M, PARA FIXAÇÃO EM POSTE DE CONCRETO - FORNECIMENTO E INSTALAÇÃO</t>
  </si>
  <si>
    <t>0034</t>
  </si>
  <si>
    <t xml:space="preserve">FITA ISOLANTE ADESIVA ANTICHAMA, USO ATE 750 V, EM ROLO DE 19 MM X 5 M </t>
  </si>
  <si>
    <t>REATOR P/ 1 LAMPADA VAPOR DE MERCURIO 400W USO EXT</t>
  </si>
  <si>
    <t>Composição de referencia - SINAPI 101666</t>
  </si>
  <si>
    <t>LAMPADA DE LUZ MISTA 500 W, BASE E40 (220 V)</t>
  </si>
  <si>
    <t>0035</t>
  </si>
  <si>
    <t>Holofote em LED 30W - Fornecimento e Instalação</t>
  </si>
  <si>
    <t>HOLOFOTE EM LED 30W</t>
  </si>
  <si>
    <t>REATERRO MANUAL DE VALAS COM COMPACTAÇÃO MECANIZADA</t>
  </si>
  <si>
    <t xml:space="preserve">IMPERMEABILIZAÇÃO DE SUPERFÍCIE COM EMULSÃO ASFÁLTICA, 2 DEMÃOS </t>
  </si>
  <si>
    <t>0036</t>
  </si>
  <si>
    <t>CAIXA DE INCENDIO/ABRIGO PARA MANGUEIRA, DE EMBUTIR/INTERNA, COM 75 X 45 X 17 CM, EM CHAPA DE ACO, PORTA COM VENTILACAO, VISOR COM A INSCRICAO "INCENDIO", SUPORTE/CESTA INTERNA PARA A MANGUEIRA, PINTURA ELETROSTATICA VERMELHA</t>
  </si>
  <si>
    <t>Composição de referencia - SINAPI 101912</t>
  </si>
  <si>
    <t>REGISTRO OU VALVULA GLOBO ANGULAR EM LATAO, PARA HIDRANTES EM INSTALACAO PREDIAL DE INCENDIO, 45 GRAUS, DIAMETRO DE 2 1/2", COM VOLANTE, CLASSE DE PRESSAO DE ATE 200 PSI</t>
  </si>
  <si>
    <t>CHAVE DUPLA PARA CONEXOES TIPO STORZ, ENGATE RAPIDO 1 1/2" X 2 1/2", EM LATAO, PARA INSTALACAO PREDIAL COMBATE A INCENDIO</t>
  </si>
  <si>
    <t>ARGAMASSA TRAÇO 1:1:6 (EM VOLUME DE CIMENTO, CAL E AREIA MÉDIA ÚMIDA) 
PARA EMBOÇO/MASSA ÚNICA/ASSENTAMENTO DE ALVENARIA DE VEDAÇÃO, PREPARO
MANUAL. AF_08/2019</t>
  </si>
  <si>
    <t>AUXILIAR DE ENCANADOR OU BOMBEIRO HIDRÁULICO COM ENCARGOS COMPLEMENTARES</t>
  </si>
  <si>
    <t>ENCANADOR OU BOMBEIRO HIDRÁULICO COM ENCARGOS COMPLEMENTARES</t>
  </si>
  <si>
    <t>ADAPTADOR, EM LATAO, ENGATE RAPIDO 2 1/2" X ROSCA INTERNA 5 FIOS 2 1/2", PARA INSTALACAO PREDIAL DE COMBATE A INCENDIO</t>
  </si>
  <si>
    <t>Hidrante de recalque com abrigo e conexões - Fornecimento e Instalação</t>
  </si>
  <si>
    <t>HIDRANTE DE RECALQUE COM ABRIGO E CONEXÕES - FORNECIMENTO E INSTALAÇÃO</t>
  </si>
  <si>
    <t>LUMINÁRIA DE EMERGÊNCIA, COM 30 LÂMPADAS LED DE 2 W, SEM REATOR - FORNECIMENTO E INSTALAÇÃO</t>
  </si>
  <si>
    <t>0037</t>
  </si>
  <si>
    <t>Bloco Luminoso autonomo 400 Lúmens - Fornecimento e Instalação</t>
  </si>
  <si>
    <t>BLOCO LUMINOSO AUTONOMO 400 LÚMENS - FORNECIMENTO E INSTALAÇÃO</t>
  </si>
  <si>
    <t>Composição de referencia - SEINFRA C0389</t>
  </si>
  <si>
    <t>BLOCO LUMINOSO AUTONOMO 400 LÚMENS</t>
  </si>
  <si>
    <t>0038</t>
  </si>
  <si>
    <t>BLOCO LUMINOSO AUTONOM 2200 LÚMENS - FORNECIMENTO E INSTALAÇÃO</t>
  </si>
  <si>
    <t>Bloco Luminoso autonomo 2200 Lúmens - Fornecimento e Instalação</t>
  </si>
  <si>
    <t>BLOCO LUMINOSO AUTONOMO 2200 LÚMENS</t>
  </si>
  <si>
    <t>EXTINTOR DE PQS 4KG - FORNECIMENTO E INSTALAÇÃO</t>
  </si>
  <si>
    <t>0039</t>
  </si>
  <si>
    <t>Composição de referencia - ORSE 12137</t>
  </si>
  <si>
    <t>Placa de sinalização contra incendio 65x179mm - Fornecimento e Instalação</t>
  </si>
  <si>
    <t>PLACA DE SINALIZACAO DE SEGURANCA CONTRA INCENDIO, FOTOLUMINESCENTE, QUADRADA, *14 X 14* CM, EM PVC *2* MM ANTI-CHAMAS (SIMBOLOS, CORES E PICTOGRAMAS CONFORME NBR 16820)</t>
  </si>
  <si>
    <t>PLACA DE SINALIZAÇÃO CONTRA INCENDIO 65X179MM - FORNECIMENTO E INSTALAÇÃO</t>
  </si>
  <si>
    <t>TUBO DE AÇO GALVANIZADO COM COSTURA, CLASSE MÉDIA, DN 65 (2 1/2"), CONEXÃO ROSQUEADA, INSTALADO EM REDE DE ALIMENTAÇÃO PARA HIDRANTE - FORNECIMENTO E INSTALAÇÃO</t>
  </si>
  <si>
    <t>0040</t>
  </si>
  <si>
    <t>Composição de referencia - SINAPI 97892</t>
  </si>
  <si>
    <t>ESCAVAÇÃO MECANIZADA DE VALA COM PROFUNDIDADE ATÉ 1,5 M (MÉDIA MONTANTE E JUSANTE/UMA COMPOSIÇÃO POR TRECHO), RETROESCAV. (0,26 M3), LARGURA MENOR QUE 0,8 M, EM SOLO DE 1A CATEGORIA, LOCAIS COM BAIXO NÍVEL DE INTERFERÊNCIA</t>
  </si>
  <si>
    <t>ENVELOPAMENTO DE CONCRETO SIMPLES COM CONSUMO MÍNIMO DE CIMENTO DE 250KG/M3, INCLUSIVE ESCAVAÇÃO E REATERRO</t>
  </si>
  <si>
    <t>REATERRO MECANIZADO DE VALA COM RETROESCAVADEIRA (CAPACIDADE DA CAÇAMBA DA RETRO: 0,26 M³ / POTÊNCIA: 88 HP), LARGURA ATÉ 0,8 M, PROFUNDIDADE ATÉ 1,5 M, COM SOLO DE 1ª CATEGORIA EM LOCAIS COM BAIXO NÍVEL DE INTERFERÊNCIA.</t>
  </si>
  <si>
    <t xml:space="preserve">ESCAVAÇÃO MECANIZADA DE VALA COM PROFUNDIDADE ATÉ 1,50 M </t>
  </si>
  <si>
    <t>REATERRO MECANIZADO DE VALA COM RETROESCAVADEIRA, COM SOLO DE 1ª CATEGORIA</t>
  </si>
  <si>
    <t xml:space="preserve">ENVELOPAMENTO COM CONCRETO SIMPLES CONSUMO MÍNIMO DE CIMENTO DE 250KG/M3, INCLUSIVE ESCAVAÇÃO </t>
  </si>
  <si>
    <t>ELETRODUTO DE AÇO GALVANIZADO, CLASSE LEVE, DN 25 MM (1) - FORNECIMENTO E INSTALAÇÃO</t>
  </si>
  <si>
    <t>CHI</t>
  </si>
  <si>
    <t>RETROESCAVADEIRA SOBRE RODAS COM CARREGADEIRA, TRAÇÃO 4X4, POTÊNCIA LÍQ. 88 HP, CAÇAMBA CARREG. CAP. MÍN. 1 M3, CAÇAMBA RETRO CAP. 0,26 M3, PESO OPERACIONAL MÍN. 6.674 KG, PROFUNDIDADE ESCAVAÇÃO MÁX. 4,37 M - CHP DIURNO</t>
  </si>
  <si>
    <t>RETROESCAVADEIRA SOBRE RODAS COM CARREGADEIRA, TRAÇÃO 4X4, POTÊNCIA LÍQ. 88 HP, CAÇAMBA CARREG. CAP. MÍN. 1 M3, CAÇAMBA RETRO CAP. 0,26 M3, PESO OPERACIONAL MÍN. 6.674 KG, PROFUNDIDADE ESCAVAÇÃO MÁX. 4,37 M - CHI DIURNO</t>
  </si>
  <si>
    <t>ARGAMASSA TRAÇO 1:4 (EM VOLUME DE CIMENTO E AREIA GROSSA ÚMIDA) PARA CHAPISCO CONVENCIONAL, PREPARO MECÂNICO COM BETONEIRA 400 L.</t>
  </si>
  <si>
    <t>ALVENARIA DE VEDAÇÃO DE BLOCOS VAZADOS DE CONCRETO DE 9X19X39 CM (ESPESSURA 9 CM) E ARGAMASSA DE ASSENTAMENTO COM PREPARO EM BETONEIRA</t>
  </si>
  <si>
    <t>PREPARO DE FUNDO DE VALA COM LARGURA MENOR QUE 1,5 M, COM CAMADA DE BRITA, LANÇAMENTO MECANIZADO</t>
  </si>
  <si>
    <t>ARGAMASSA TRAÇO 1:3 (EM VOLUME DE CIMENTO E AREIA MÉDIA ÚMIDA), PREPARO MECÂNICO COM BETONEIRA 400 L.</t>
  </si>
  <si>
    <t xml:space="preserve">PEDREIRO COM ENCARGOS COMPLEMENTARES </t>
  </si>
  <si>
    <t>PEÇA RETANGULAR PRÉ-MOLDADA, VOLUME DE CONCRETO DE 30 A 100 LITROS, TAXA DE AÇO APROXIMADA DE 30KG/M³</t>
  </si>
  <si>
    <t>TAMPAO FOFO SIMPLES COM BASE, CLASSE A15 CARGA MAX 1,5 T, *400 X 600* MM</t>
  </si>
  <si>
    <t>Caixa para registro de linha de recalque de incendio (40X60X60) com tampão</t>
  </si>
  <si>
    <t>CAIXA PARA REGISTRO DE LINHA DE RECALQUE DE INCENDIO (40X60X60) COM TAMPÃO</t>
  </si>
  <si>
    <t>PINTURA DE FAIXA DE PEDESTRE OU ZEBRADA TINTA RETRORREFLETIVA A BASE DE RESINA ACRÍLICA COM MICROESFERAS DE VIDRO, E = 30 CM, APLICAÇÃO MANUAL</t>
  </si>
  <si>
    <t>REFLETOR RETANGULAR FECHADO, COM REATOR, RELE FOTOELÉTRICO E LAMPADA MISTA 500 W - FORNECIMENTO E INSTALAÇÃO</t>
  </si>
  <si>
    <t>RELÉ FOTOELÉTRICO PARA COMANDO DE ILUMINAÇÃO EXTERNA 1000 W</t>
  </si>
  <si>
    <t>Refletor retangular fechado, com rele fotoelétrico e lâmpada mista 500 w - Fornecimento e Instalação</t>
  </si>
  <si>
    <t>INSTALAÇÃO DE HIDRANTES</t>
  </si>
  <si>
    <t>INSTALAÇÃO DE EXTINTORES</t>
  </si>
  <si>
    <t>INSTALAÇÃO DE ILUMINAÇÃO DE EMERGENCIA</t>
  </si>
  <si>
    <t>INSTALAÇÃO DE ALARME DE INCENDIO</t>
  </si>
  <si>
    <t>ENTRADA DE ENERGIA ELÉTRICA</t>
  </si>
  <si>
    <t>ELETRODUTOS</t>
  </si>
  <si>
    <t>CABOS ELÉTRICOS</t>
  </si>
  <si>
    <t>QUADROS ELÉTRICOS E DISJUNTORES</t>
  </si>
  <si>
    <t>3.1.1</t>
  </si>
  <si>
    <t>3.1.2</t>
  </si>
  <si>
    <t>3.1.3</t>
  </si>
  <si>
    <t>3.1.4</t>
  </si>
  <si>
    <t>3.1.5</t>
  </si>
  <si>
    <t>3.1.6</t>
  </si>
  <si>
    <t>3.1.7</t>
  </si>
  <si>
    <t>3.1.8</t>
  </si>
  <si>
    <t>3.1.9</t>
  </si>
  <si>
    <t>3.1.10</t>
  </si>
  <si>
    <t>3.2.1</t>
  </si>
  <si>
    <t>3.2.2</t>
  </si>
  <si>
    <t>3.2.3</t>
  </si>
  <si>
    <t>3.2.4</t>
  </si>
  <si>
    <t>3.2.5</t>
  </si>
  <si>
    <t>3.2.6</t>
  </si>
  <si>
    <t>3.2.7</t>
  </si>
  <si>
    <t>3.2.8</t>
  </si>
  <si>
    <t>3.3.1</t>
  </si>
  <si>
    <t>3.3.2</t>
  </si>
  <si>
    <t>3.3.3</t>
  </si>
  <si>
    <t>3.3.4</t>
  </si>
  <si>
    <t>3.3.5</t>
  </si>
  <si>
    <t>3.3.6</t>
  </si>
  <si>
    <t>3.3.7</t>
  </si>
  <si>
    <t>3.3.8</t>
  </si>
  <si>
    <t>3.3.9</t>
  </si>
  <si>
    <t>3.3.10</t>
  </si>
  <si>
    <t>3.3.11</t>
  </si>
  <si>
    <t>3.3.12</t>
  </si>
  <si>
    <t>3.3.13</t>
  </si>
  <si>
    <t>3.3.14</t>
  </si>
  <si>
    <t>3.4.1</t>
  </si>
  <si>
    <t>3.4.2</t>
  </si>
  <si>
    <t>3.4.3</t>
  </si>
  <si>
    <t>3.4.4</t>
  </si>
  <si>
    <t>3.4.5</t>
  </si>
  <si>
    <t>3.5.1</t>
  </si>
  <si>
    <t>3.6.1</t>
  </si>
  <si>
    <t>3.7.1</t>
  </si>
  <si>
    <t>3.7.2</t>
  </si>
  <si>
    <t>3.8.1</t>
  </si>
  <si>
    <t>3.8.2</t>
  </si>
  <si>
    <t>3.8.3</t>
  </si>
  <si>
    <t>3.8.4</t>
  </si>
  <si>
    <t>5.1.1</t>
  </si>
  <si>
    <t>5.1.2</t>
  </si>
  <si>
    <t>5.1.3</t>
  </si>
  <si>
    <t>5.1.4</t>
  </si>
  <si>
    <t>5.1.5</t>
  </si>
  <si>
    <t>5.1.6</t>
  </si>
  <si>
    <t>5.1.7</t>
  </si>
  <si>
    <t>5.1.8</t>
  </si>
  <si>
    <t>5.1.9</t>
  </si>
  <si>
    <t>5.1.10</t>
  </si>
  <si>
    <t>5.1.11</t>
  </si>
  <si>
    <t>5.2.1</t>
  </si>
  <si>
    <t>5.2.2</t>
  </si>
  <si>
    <t>5.2.3</t>
  </si>
  <si>
    <t>5.3.1</t>
  </si>
  <si>
    <t>5.3.2</t>
  </si>
  <si>
    <t>5.3.3</t>
  </si>
  <si>
    <t>5.3.4</t>
  </si>
  <si>
    <t>5.4.1</t>
  </si>
  <si>
    <t>5.4.2</t>
  </si>
  <si>
    <t>5.4.3</t>
  </si>
  <si>
    <t>5.4.4</t>
  </si>
  <si>
    <t>6.2</t>
  </si>
  <si>
    <t>VOZ, DADOS E IMAGEM</t>
  </si>
  <si>
    <t>0041</t>
  </si>
  <si>
    <t>Central de alarme analógica e 1 endereço - Fornecimento e Instalação</t>
  </si>
  <si>
    <t xml:space="preserve">ELETROTÉCNICO COM ENCARGOS COMPLEMENTARES </t>
  </si>
  <si>
    <t>Composição de referencia - ORSE 12136</t>
  </si>
  <si>
    <t>CENTRAL DE ALARME ANALÓGICA E 1 ENDEREÇO - FORNECIMENTO E INSTALAÇÃO</t>
  </si>
  <si>
    <t>CENTRAL DE ALARME ANALÓGICA - FORNECIMENTO E INSTALAÇÃO</t>
  </si>
  <si>
    <t>0042</t>
  </si>
  <si>
    <t>ACIONADOR MANUAL COM BOTOEIRA " APERTE AQUI"</t>
  </si>
  <si>
    <t>Composição de referencia - ORSE 11829</t>
  </si>
  <si>
    <t>0043</t>
  </si>
  <si>
    <t>Avisador sonoro tipo sirene para incêndio - Fornecimento e Instalação</t>
  </si>
  <si>
    <t>Acionador manual (botoeira) "aperte aqui" - Fornecimento e Instalação</t>
  </si>
  <si>
    <t>AVISADOR SONORO TIPO SIRENE PARA INCÊNDIO</t>
  </si>
  <si>
    <t>AVISADOR SONORO TIPO SIRENE PARA INCÊNDIO - FORNECIMENTO E INSTALAÇÃO</t>
  </si>
  <si>
    <t>ACIONADOR MANUAL (BOTOEIRA) "APERTE AQUI" - FORNECIMENTO E INSTALAÇÃO</t>
  </si>
  <si>
    <t>0044</t>
  </si>
  <si>
    <t>Avisador visual para incêndio - Fornecimento e Instalação</t>
  </si>
  <si>
    <t>AVISADOR VISUAL PARA INCÊNDIO</t>
  </si>
  <si>
    <t>AVISADOR VISUAL PARA INCÊNDIO - FORNECIMENTO E INSTALAÇÃO</t>
  </si>
  <si>
    <t>0045</t>
  </si>
  <si>
    <t>EXTINTOR INCENDIO AGUA-PRESSURIZADA 10L INCLUSIVE SUPORTE PAREDE CARGA COMPLETA - FORNECIMENTO E INSTALAÇÃO</t>
  </si>
  <si>
    <t>BOMBA PARA INCENDIO 2CV</t>
  </si>
  <si>
    <t>BOMBA DE INCENDIO 2CV, VAZÃO 12M3/H - FORNECIMENTO E INSTALAÇÃO</t>
  </si>
  <si>
    <t>Composição de referencia - ORSE 11173</t>
  </si>
  <si>
    <t>Bomba de incendio 2cv, vazão 12m3/h - Fornecimento e Instalação</t>
  </si>
  <si>
    <t>0046</t>
  </si>
  <si>
    <t>ELETROTÉCNICO COM ENCARGOS COMPLEMENTARES</t>
  </si>
  <si>
    <t>FUSIVEL DIAZED 20 A TAMANHO DII, CAPACIDADE DE INTERRUPCAO DE 50 KA EM VCA E 8 KA EM VCC, TENSAO NOMIMNAL DE 500 V</t>
  </si>
  <si>
    <t>BASE FUSÍVEL ATÉ 25A, PARA QUADRO DISTRIBUIÇÃO CIRCUITOS (DIAZED OU SIMILAR)</t>
  </si>
  <si>
    <t>CONTATOR TRIPOLAR, CORRENTE DE 25 A, TENSAO NOMINAL DE *500* V, CATEGORIA AC-2 E  AC-3</t>
  </si>
  <si>
    <t xml:space="preserve">DISJUNTOR TIPO DIN/IEC, TRIPOLAR DE 10 ATE 50A </t>
  </si>
  <si>
    <t>CAIXA DE FERRO PARA QUADRO, DIM. 50 X 40CM, EM AÇO CARBONO #16, PINTURA ELETROSTÁTICA A PÓ, CINZA RAL, PLACA DE MONTAGEM #14 LARANJA - FECHO PADRÃO COM ACIONAMENTO FENDA, BORRACHA DE VEDAÇÃO.</t>
  </si>
  <si>
    <t>Composição de referencia - SIURB-EDF 09-12-53</t>
  </si>
  <si>
    <t>QUADRO DE COMANDO DE BOMBA DE INCENDIO - FORNECIMENTO E INSTALAÇÃO</t>
  </si>
  <si>
    <t>5.4.5</t>
  </si>
  <si>
    <t>5.4.6</t>
  </si>
  <si>
    <t>RELÉ DE SOBRECARGA DE 10 A 16A</t>
  </si>
  <si>
    <t xml:space="preserve">Cotação </t>
  </si>
  <si>
    <t>RELÉ DE NÍVEL E FALTA DE FASE (RNF)</t>
  </si>
  <si>
    <t>0047</t>
  </si>
  <si>
    <t>CAP OU TAMPAO DE FERRO GALVANIZADO, COM ROSCA BSP, DE 1"</t>
  </si>
  <si>
    <t>INSTALAÇÃO DE GLP</t>
  </si>
  <si>
    <t>INSTALAÇÕES DE PROTEÇÃO E COMBATE A INCÊNDIO</t>
  </si>
  <si>
    <t>0048</t>
  </si>
  <si>
    <t>TUBO DE COBRE CLASSE "A", DN = 3/4 " (22 MM), PARA INSTALACOES DE MEDIA PRESSAO PARA GASES COMBUSTIVEIS E MEDICINAIS</t>
  </si>
  <si>
    <t>TUBO DE COBRE CLASSE "A", DN = 1 " (28 MM), PARA INSTALACOES DE MEDIA PRESSAO PARA GASES COMBUSTIVEIS E MEDICINAIS</t>
  </si>
  <si>
    <t xml:space="preserve">COTOVELO DE COBRE 90 GRAUS (REF 607) SEM ANEL DE SOLDA, BOLSA X BOLSA, 28 MM </t>
  </si>
  <si>
    <t xml:space="preserve">COTOVELO DE COBRE 90 GRAUS (REF 607) SEM ANEL DE SOLDA, BOLSA X BOLSA, 22 MM </t>
  </si>
  <si>
    <t>COTOVELO 45° COBRE 28MM</t>
  </si>
  <si>
    <t>UNIÃO EM LATÃO COM SOLDA 22X22MM</t>
  </si>
  <si>
    <t>UNIÃO EM LATÃO COM SOLDA 28X28MM</t>
  </si>
  <si>
    <t>NIPLE NPT DE 1/2 LATÃO</t>
  </si>
  <si>
    <t>LUVA DE COBRE (REF 600) SEM ANEL DE SOLDA, BOLSA X BOLSA, 22 MM</t>
  </si>
  <si>
    <t>LUVA DE COBRE (REF 600) SEM ANEL DE SOLDA, BOLSA X BOLSA, 28 MM</t>
  </si>
  <si>
    <t>TE DE COBRE (REF 611) SEM ANEL DE SOLDA, BOLSA X BOLSA X BOLSA, 22 MM</t>
  </si>
  <si>
    <t>Composição de referencia -SEINFRA C2576</t>
  </si>
  <si>
    <t>6.3</t>
  </si>
  <si>
    <t>0049</t>
  </si>
  <si>
    <t>REGULADOR DE PRESSÃO PARA GÁS BP 2202 1/2"</t>
  </si>
  <si>
    <t>VÁLVULA BLOQUEIO AUTOMÁTICO 1330</t>
  </si>
  <si>
    <t>PIG TAIL OU CHICOTE FLEXÍVEL DE COBRE, B-190, PARA CONDUÇÃO DE GÁS</t>
  </si>
  <si>
    <t>PLACA DE SINALIZACAO DE SEGURANCA CONTRA INCENDIO, FOTOLUMINESCENTE, RETANGULAR, *20 X 40* CM, EM PVC *2* MM ANTI-CHAMAS (SIMBOLOS, CORES E PICTOGRAMAS CONFORME NBR 16820)</t>
  </si>
  <si>
    <t xml:space="preserve">PINTOR COM ENCARGOS COMPLEMENTARES </t>
  </si>
  <si>
    <t xml:space="preserve">AJUDANTE DE PINTOR COM ENCARGOS COMPLEMENTARES </t>
  </si>
  <si>
    <t>Composição de referencia - SIURB-EDIF 10-07-83</t>
  </si>
  <si>
    <t xml:space="preserve">BUCHA DE NYLON SEM ABA S8 </t>
  </si>
  <si>
    <t>TINTA ESMALTE SINTETICO PREMIUM BRILHANTE</t>
  </si>
  <si>
    <t>L</t>
  </si>
  <si>
    <t xml:space="preserve">FUNDO ANTICORROSIVO PARA METAIS FERROSOS (ZARCAO) </t>
  </si>
  <si>
    <t xml:space="preserve">LIXA EM FOLHA PARA FERRO, NUMERO 150 </t>
  </si>
  <si>
    <t>MANOMETRO COM CAIXA EM ACO PINTADO, ESCALA *10* KGF/CM2 (*10* BAR), DIAMETRO NOMINAL DE 100 MM, CONEXAO DE 1/2"</t>
  </si>
  <si>
    <t>0050</t>
  </si>
  <si>
    <t>MEDIDOR DE GAS GLP</t>
  </si>
  <si>
    <t>MAT014900</t>
  </si>
  <si>
    <t>SCO</t>
  </si>
  <si>
    <t>BOTIJÃO PARA GÁS COM 45 KG, EXCLUSIVE O GÁS</t>
  </si>
  <si>
    <t>SISTEMA DE HVAC-R</t>
  </si>
  <si>
    <t>VENTILAÇÃO E EXAUSTÃO DA COZINHA</t>
  </si>
  <si>
    <t>4.1.2</t>
  </si>
  <si>
    <t>4.1.4</t>
  </si>
  <si>
    <t>4.1.5</t>
  </si>
  <si>
    <t xml:space="preserve">MECÂNICO DE REFRIGERAÇÃO COM ENCARGOS COMPLEMENTARES </t>
  </si>
  <si>
    <t>ISOLAMENTO ESPONJOSO ELASTOMÉRICO PARA TUBO DE COBRE 7/8"</t>
  </si>
  <si>
    <t xml:space="preserve">FITA / CINTA AUTOADESIVA ELASTOMERICA PARA VEDACAO, L= 50 MM, E = 3 MM </t>
  </si>
  <si>
    <t xml:space="preserve">PARAFUSO ZINCADO, SEXTAVADO, COM ROSCA INTEIRA, DIAMETRO 1/4", COMPRIMENTO 1/2" </t>
  </si>
  <si>
    <t xml:space="preserve">CABO FLEXIVEL PVC 750 V, 3 CONDUTORES DE 6,0 MM2 </t>
  </si>
  <si>
    <t>ISOLAMENTO ESPONJOSO ELASTOMÉRICO PARA TUBO DE COBRE 1/2"</t>
  </si>
  <si>
    <t xml:space="preserve">FITA ISOLANTE DE BORRACHA AUTOFUSAO, USO ATE 69 KV (ALTA TENSAO) </t>
  </si>
  <si>
    <t>0051</t>
  </si>
  <si>
    <t>CAIXA ENTERRADA HIDRÁULICA RETANGULAR, EM ALVENARIA COM BLOCOS DE CONCRETO, DIMENSÕES INTERNAS: 0,4X0,4X0,4 M PARA REDE DE DRENAGEM</t>
  </si>
  <si>
    <t>TUBO DE COBRE FLEXÍVEL Ø 7/8" - 22,23MM, E= 1MM</t>
  </si>
  <si>
    <t>0052</t>
  </si>
  <si>
    <t>ARRUELA LISA, REDONDA, DE LATAO POLIDO, DIAMETRO NOMINAL 5/8", DIAMETRO EXTERNO = 34 MM, DIAMETRO DO FURO = 17 MM, ESPESSURA = *2,5* MM</t>
  </si>
  <si>
    <t>ACO CA-50, 10,0 MM, VERGALHAO</t>
  </si>
  <si>
    <t>PORCA ZINCADA, SEXTAVADA, DIAMETRO 3/8"</t>
  </si>
  <si>
    <t xml:space="preserve">PERFIL CARTOLA DE ACO GALVANIZADO, *20 X 30 X 10* MM, E = 0,8 MM </t>
  </si>
  <si>
    <t>UND</t>
  </si>
  <si>
    <t>Composição de referencia - Estimativa</t>
  </si>
  <si>
    <t>CENTRAL DE GLP PARA 10 CILINDROS P-45KG, INCLUSIVE BOTIJÕES E EXCLUSIVE ABRIGO - FORNECIMENTO E INSTALAÇÃO</t>
  </si>
  <si>
    <t>Central de GLP para 10 cilindros P-45kg, inclusive botijões, exclusive abrigo - Fornecimento e Instalação</t>
  </si>
  <si>
    <t>VÁLVULA DE ESFERA MONOBLOCO Ø1"</t>
  </si>
  <si>
    <t>TUBO ACO GALVANIZADO COM COSTURA, CLASSE MEDIA, DN 1", E = 3,38 MM, PESO 2,50 KG/M (NBR 5580)</t>
  </si>
  <si>
    <t xml:space="preserve">TE DE FERRO GALVANIZADO, DE 1"  </t>
  </si>
  <si>
    <t xml:space="preserve">TE DE REDUCAO DE FERRO GALVANIZADO, COM ROSCA BSP, DE 1" X 1/2" </t>
  </si>
  <si>
    <t>COTOVELO 45 GRAUS DE FERRO GALVANIZADO, COM ROSCA BSP, DE 1"</t>
  </si>
  <si>
    <r>
      <t xml:space="preserve">Rede de distribuição de GLP </t>
    </r>
    <r>
      <rPr>
        <sz val="8"/>
        <color theme="1"/>
        <rFont val="Calibri"/>
        <family val="2"/>
      </rPr>
      <t>Ø</t>
    </r>
    <r>
      <rPr>
        <sz val="8"/>
        <color theme="1"/>
        <rFont val="Arial"/>
        <family val="2"/>
      </rPr>
      <t xml:space="preserve"> 28 mm, inclusive tubulação, conexões e envelopamento - Fornecimento e Instalação</t>
    </r>
  </si>
  <si>
    <t>Composição de referencia -SEINFRA C2576/ IOPS 150701</t>
  </si>
  <si>
    <t>REDE DE DISTRIBUIÇÃO DE GLP Ø 28 MM, INCLUSIVE TUBULAÇÃO, CONEXÕES E ENVELOPAMENTO - FORNECIMENTO E INSTALAÇÃO</t>
  </si>
  <si>
    <r>
      <t xml:space="preserve">Rede de distribuição de GLP </t>
    </r>
    <r>
      <rPr>
        <sz val="8"/>
        <color theme="1"/>
        <rFont val="Calibri"/>
        <family val="2"/>
      </rPr>
      <t>Ø</t>
    </r>
    <r>
      <rPr>
        <sz val="8"/>
        <color theme="1"/>
        <rFont val="Arial"/>
        <family val="2"/>
      </rPr>
      <t xml:space="preserve"> 22 mm, inclusive tubulação, conexões - Fornecimento e Instalação</t>
    </r>
  </si>
  <si>
    <t>REDE DE DISTRIBUIÇÃO DE GLP Ø 22 MM, INCLUSIVE TUBULAÇÃO, CONEXÕES - FORNECIMENTO E INSTALAÇÃO</t>
  </si>
  <si>
    <t>7.1</t>
  </si>
  <si>
    <t>7.2</t>
  </si>
  <si>
    <t>DISJUNTOR TRIPOLAR TIPO DIN, CORRENTE NOMINAL DE 32A - FORNECIMENTO E INSTALAÇÃO</t>
  </si>
  <si>
    <t>4.2.1</t>
  </si>
  <si>
    <t>CONDULETE DE ALUMÍNIO, TIPO X, PARA ELETRODUTO DE AÇO GALVANIZADO DN 25 MM (1''), APARENTE - FORNECIMENTO E INSTALAÇÃO</t>
  </si>
  <si>
    <t>Composição de referencia - TCPO 3R 24 32 14 00 00 00 05 10</t>
  </si>
  <si>
    <t>Duto em chapa inox AISI 304 (700X300mm), e=1mm - Fornecimento e Instalação</t>
  </si>
  <si>
    <t>CHAPA INOX AISI 304 ESPESSURA 1,0 MM (7,9 KG/M2)</t>
  </si>
  <si>
    <t>SUPORTE EM AÇO TIPO MÃO FRANCESA PARA FIXAÇÃO DE TUBOS DN 500MM</t>
  </si>
  <si>
    <t>DUTO EM CHAPA INOX AISI 304 (700X300MM), E=1MM - FORNECIMENTO E INSTALAÇÃO</t>
  </si>
  <si>
    <t>0053</t>
  </si>
  <si>
    <t>Duto em chapa galvanizada (650X300mm), e=24 MSG - Fornecimento e Instalação</t>
  </si>
  <si>
    <t>CHAPA GALVANIZADA Nº 24, ESPESSURA 0,65 MM (5,2 KG/M2)</t>
  </si>
  <si>
    <t>DUTO EM CHAPA GALVANIZADA (650X300MM), E=24 MSG - FORNECIMENTO E INSTALAÇÃO</t>
  </si>
  <si>
    <t>0054</t>
  </si>
  <si>
    <t>DAMPER CORTA FOGO COM FUSÍVEL TÉRMICO BI-METÁLICO DE 144ºC, DIMENSÕES 60X30CM</t>
  </si>
  <si>
    <t>MONTADOR (TUBO AÇO/EQUIPAMENTOS) COM ENCARGOS COMPLEMENTARES</t>
  </si>
  <si>
    <t xml:space="preserve">MONTADOR (TUBO AÇO/EQUIPAMENTOS) COM ENCARGOS COMPLEMENTARES </t>
  </si>
  <si>
    <t>0055</t>
  </si>
  <si>
    <t>DAMPER CORTA FOGO COM FUSÍVEL TÉRMICO BI-METÁLICO DE 144ºC, DIMENSÕES 30X30CM</t>
  </si>
  <si>
    <t>0056</t>
  </si>
  <si>
    <t>DAMPER DE REGULAGEM EM AÇO GALVANIZADO, DIMENSÕES 65X30CM - FORNECIMENTO E INSTALAÇÃO</t>
  </si>
  <si>
    <t>0057</t>
  </si>
  <si>
    <t>DAMPER DE REGULAGEM EM AÇO GALVANIZADO, DIMENSÕES 60X30CM - FORNECIMENTO E INSTALAÇÃO</t>
  </si>
  <si>
    <t>DAMPER DE REGULAGEM EM AÇO GALVANIZADO, DIMENSÕES 65X30CM</t>
  </si>
  <si>
    <t>DAMPER CORTA FOGO COM FUSÍVEL TÉRMICO BI-METÁLICO DE 144ºC, DIMENSÕES 60X30CM - FORNECIMENTO E INSTALAÇÃO</t>
  </si>
  <si>
    <t>DAMPER CORTA FOGO COM FUSÍVEL TÉRMICO BI-METÁLICO DE 144ºC, DIMENSÕES 30X30CM - FORNECIMENTO E INSTALAÇÃO</t>
  </si>
  <si>
    <t>0058</t>
  </si>
  <si>
    <t>DAMPER DE REGULAGEM EM AÇO GALVANIZADO, DIMENSÕES 35X30CM - FORNECIMENTO E INSTALAÇÃO</t>
  </si>
  <si>
    <t>DAMPER DE REGULAGEM EM AÇO GALVANIZADO, DIMENSÕES 60X30CM</t>
  </si>
  <si>
    <t>DAMPER DE REGULAGEM EM AÇO GALVANIZADO, DIMENSÕES 35X30CM</t>
  </si>
  <si>
    <t>GRELHA DE INSUFLAMENTO DE DUPLA DEFLEXÃO COM REGISTRO, DIMENSÕES 65X30CM</t>
  </si>
  <si>
    <t>0059</t>
  </si>
  <si>
    <t>GRELHA DE INSUFLAMENTO DE DUPLA DEFLEXÃO COM REGISTRO, DIMENSÕES 65X30CM - FORNECIMENTO E INSTALAÇÃO</t>
  </si>
  <si>
    <t>0060</t>
  </si>
  <si>
    <t>PORTAS DE INSPEÇÃO COM MANOPLAS, EM AÇO INOXIDÁVEL, DIMENSÕES 30X30CM</t>
  </si>
  <si>
    <t>PORTAS DE INSPEÇÃO COM MANOPLAS, EM AÇO INOXIDÁVEL, DIMENSÕES 30X30CM - FORNECIMENTO E INSTALAÇÃO</t>
  </si>
  <si>
    <t>4.2.2</t>
  </si>
  <si>
    <t>4.2.3</t>
  </si>
  <si>
    <t>4.2.4</t>
  </si>
  <si>
    <t>4.2.5</t>
  </si>
  <si>
    <t>4.2.6</t>
  </si>
  <si>
    <t>4.2.7</t>
  </si>
  <si>
    <t>4.2.8</t>
  </si>
  <si>
    <t>4.2.9</t>
  </si>
  <si>
    <t>4.2.10</t>
  </si>
  <si>
    <t>4.2.11</t>
  </si>
  <si>
    <t>4.2.12</t>
  </si>
  <si>
    <t>4.2.13</t>
  </si>
  <si>
    <t>4.2.14</t>
  </si>
  <si>
    <t>4.2.15</t>
  </si>
  <si>
    <t>4.2.16</t>
  </si>
  <si>
    <t>0061</t>
  </si>
  <si>
    <t>RELE TÉRMICO</t>
  </si>
  <si>
    <t xml:space="preserve">CONTATOR AUXILIAR </t>
  </si>
  <si>
    <t>DISPOSITIVO PROTETOR DE SURTO</t>
  </si>
  <si>
    <t xml:space="preserve">DISJUNTOR TIPO DIN/IEC, BIPOLAR DE 6 ATE 32A </t>
  </si>
  <si>
    <t>DISJUNTOR TIPO DIN/IEC, TRIPOLAR DE 10 ATE 50A</t>
  </si>
  <si>
    <t>Composição de referencia - SEDOP 170867</t>
  </si>
  <si>
    <t>Composição de referencia - ORSE 09845</t>
  </si>
  <si>
    <t>BARRAMETO DE COBRE 3/4'X3/16"</t>
  </si>
  <si>
    <t>QUADRO DE FORÇA E CONTROLE "QF-EX" - FORNECIMENTO E INSTALAÇÃO</t>
  </si>
  <si>
    <t>QUADRO COMANDO 60X60X20 CM</t>
  </si>
  <si>
    <t>SUBTOTAL DOS SERVIÇOS</t>
  </si>
  <si>
    <t>BDI</t>
  </si>
  <si>
    <t>SUBTOTAL DOS SERVIÇOS COM BDI</t>
  </si>
  <si>
    <t>FORNECIMENTO DE EQUIPAMENTOS</t>
  </si>
  <si>
    <t>8.1</t>
  </si>
  <si>
    <t>8.2</t>
  </si>
  <si>
    <t>SUBTOTAL DOS EQUIPAMENTOS</t>
  </si>
  <si>
    <t>TOTAL GERAL COM BDI</t>
  </si>
  <si>
    <t>Cálculo do BDI - Com desoneração sobre a folha de pagamento
Fórmula e parâmetros estabelecidos pelo Acórdão 2622/2013-TCU-Plenário</t>
  </si>
  <si>
    <t>DEMONSTRATIVO BDI - SERVIÇOS</t>
  </si>
  <si>
    <t>1º Quartil</t>
  </si>
  <si>
    <t>Médio</t>
  </si>
  <si>
    <t>3º Quartil</t>
  </si>
  <si>
    <t>Adotado</t>
  </si>
  <si>
    <t>Administração Central</t>
  </si>
  <si>
    <t>Seguro + Garantia</t>
  </si>
  <si>
    <t>Riscos</t>
  </si>
  <si>
    <t>Despesas Financeiras</t>
  </si>
  <si>
    <t>Lucro</t>
  </si>
  <si>
    <t>Impostos (soma)</t>
  </si>
  <si>
    <t>PIS</t>
  </si>
  <si>
    <t>COFINS</t>
  </si>
  <si>
    <t>C.P.R.B.</t>
  </si>
  <si>
    <t>C.P.R.B. aumentada de 2,00% para 4,50% em função da Lei nº 13.161/2015</t>
  </si>
  <si>
    <t>FÓRMULA</t>
  </si>
  <si>
    <t>BDI = { [ (1+AC/100+S/100+R/100+G/100) x (1+DF/100) x (1+L/100) / (1-I/100)] -1} x 100</t>
  </si>
  <si>
    <t>TOTAL DO BDI, APLICANDO-SE A FÓRMULA</t>
  </si>
  <si>
    <t>DEMONSTRATIVO BDI - EQUIPAMENTOS</t>
  </si>
  <si>
    <t>ISS - Município de Poconé</t>
  </si>
  <si>
    <t>* A legislação do municipal implica em aplicação do percentual de 4% sobre o preço do serviço - Lei Municipal nº 1.710 de 03 de junho de 2013 (Tabela III) - descontando-se as notas fiscais de material. Como o TCU admite 50% para materiais, o ISS fica assim definido: 4% x 50% = 2,0%</t>
  </si>
  <si>
    <t>4.2.17</t>
  </si>
  <si>
    <t>4.2.18</t>
  </si>
  <si>
    <t xml:space="preserve">EXECUÇÃO DE RADIER, ESPESSURA DE 10 CM, FCK = 30 MPA, COM USO DE FORMAS EM MADEIRA SERRADA </t>
  </si>
  <si>
    <t>0062</t>
  </si>
  <si>
    <t>TERMINAL A COMPRESSAO EM COBRE ESTANHADO PARA CABO 2,5 MM2, 1 FURO E COMPRESSAO, PARA PARAFUSO DE FIXACAO M5</t>
  </si>
  <si>
    <t>BUCHA DE NYLON SEM ABA S10</t>
  </si>
  <si>
    <t>PARAFUSO ZINCADO, SEXTAVADO, COM ROSCA SOBERBA, DIAMETRO 3/8", COMPRIMENTO 80 MM</t>
  </si>
  <si>
    <t>ARRUELA EM ACO GALVANIZADO, DIAMETRO EXTERNO = 35MM, ESPESSURA = 3MM, DIAMETRO DO FURO= 18MM</t>
  </si>
  <si>
    <t>PARAFUSO DE FERRO POLIDO, SEXTAVADO, COM ROSCA INTEIRA, DIAMETRO 5/16", COMPRIMENTO 3/4", COM PORCA E ARRUELA LISA LEVE</t>
  </si>
  <si>
    <t>AJUDANTE ESPECIALIZADO COM ENCARGOS COMPLEMENTARES</t>
  </si>
  <si>
    <t>0063</t>
  </si>
  <si>
    <t xml:space="preserve">MONTADOR ELETROMECÃNICO COM ENCARGOS COMPLEMENTARES </t>
  </si>
  <si>
    <t xml:space="preserve">AJUDANTE ESPECIALIZADO COM ENCARGOS COMPLEMENTARES </t>
  </si>
  <si>
    <t>4.2.19</t>
  </si>
  <si>
    <t>4.2.20</t>
  </si>
  <si>
    <t>0064</t>
  </si>
  <si>
    <t>0065</t>
  </si>
  <si>
    <t>INSTALAÇÃO DO LAVADOR DE GASES</t>
  </si>
  <si>
    <t xml:space="preserve">INSTALAÇÃO DO CONJUNTO MOTO VENTILADOR CENTRÍFUGO DE EXAUSTÃO </t>
  </si>
  <si>
    <t>INSTALAÇÃO DA CAIXA DE VENTILAÇÃO</t>
  </si>
  <si>
    <t>4.2.21</t>
  </si>
  <si>
    <t>FORNECIMENTO DE CAIXA DE VENTILAÇÃO, MODELO ILD-400, Q=8.000M³/H, H=50MMCA OU EQUIVALENTE</t>
  </si>
  <si>
    <t>FORNECIMENTO DE LAVADOR DE GASES EM AÇO INOXIDÁVEL AISI 304, COM 4 ESTÁGIOS DE FILTRAGEM OU EQUIVALENTE</t>
  </si>
  <si>
    <t>0066</t>
  </si>
  <si>
    <t>Composição de referencia - SINAPI 96561 (Modificado)</t>
  </si>
  <si>
    <t xml:space="preserve">VERGALHAO ZINCADO ROSCA TOTAL, 1/4 " (6,3 MM) </t>
  </si>
  <si>
    <t xml:space="preserve">PORCA ZINCADA, SEXTAVADA, DIAMETRO 1/4" </t>
  </si>
  <si>
    <t xml:space="preserve">ENCANADOR OU BOMBEIRO HIDRÁULICO COM ENCARGOS COMPLEMENTARES </t>
  </si>
  <si>
    <t>0067</t>
  </si>
  <si>
    <t>Suporte de Dutos "S1" - Fornecimento e Instalação</t>
  </si>
  <si>
    <t>Suporte de Dutos "S2" - Fornecimento e Instalação</t>
  </si>
  <si>
    <t>PARAFUSO, ASTM A307 - GRAU A, SEXTAVADO, ZINCADO, DIAMETRO 3/8" (9,52 MM), COMPRIMENTO 1 " (25,4 MM)</t>
  </si>
  <si>
    <t>CENTO</t>
  </si>
  <si>
    <t xml:space="preserve">PORCA ZINCADA, QUADRADA, DIAMETRO 3/8" </t>
  </si>
  <si>
    <t>CANTONEIRA (ABAS IGUAIS) EM FERRO GALVANIZADO, 25,4 MM X 3,17 MM (L X E), 1,27KG/M</t>
  </si>
  <si>
    <t xml:space="preserve">ARRUELA EM ALUMINIO, COM ROSCA, DE 3/8", PARA ELETRODUTO </t>
  </si>
  <si>
    <t xml:space="preserve">PARAFUSO ZINCADO, SEXTAVADO, COM ROSCA INTEIRA, DIAMETRO 3/8", COMPRIMENTO 2" </t>
  </si>
  <si>
    <t xml:space="preserve">AUXILIAR DE SERRALHEIRO COM ENCARGOS COMPLEMENTARES </t>
  </si>
  <si>
    <t>0068</t>
  </si>
  <si>
    <t xml:space="preserve">TUBO PVC SERIE NORMAL, DN 150 MM, PARA ESGOTO PREDIAL (NBR 5688) </t>
  </si>
  <si>
    <t>ESPUMA EXPANSIVA DE POLIURETANO, APLICACAO MANUAL - 500 ML (20 LITROS)</t>
  </si>
  <si>
    <t xml:space="preserve">93402
</t>
  </si>
  <si>
    <t>GUINDAUTO HIDRÁULICO, CAPACIDADE MÁXIMA DE CARGA 3300 KG, MOMENTO MÁXIMO DE CARGA 5,8 TM, ALCANCE MÁXIMO HORIZONTAL 7,60 M, INCLUSIVE CAMINHÃO TOCO PBT 16.000 KG, POTÊNCIA DE 189 CV - CHP DIURNO</t>
  </si>
  <si>
    <t>GUINDAUTO HIDRÁULICO, CAPACIDADE MÁXIMA DE CARGA 3300 KG, MOMENTO MÁXIMO DE CARGA 5,8 TM, ALCANCE MÁXIMO HORIZONTAL 7,60 M, INCLUSIVE CAMINHÃO TOCO PBT 16.000 KG, POTÊNCIA DE 189 CV - CHI DIURNO</t>
  </si>
  <si>
    <t>0069</t>
  </si>
  <si>
    <t>Start-Up dos Equipamentos</t>
  </si>
  <si>
    <t>START-UP DOS EQUIPAMENTOS</t>
  </si>
  <si>
    <t>CAPTOR DE EFLUENTES EM AÇO INOXIDÁVEL AISI 304, COM FILTROS INERCIAIS E LUMINÁRIAS G.P IP-65, DIMENSÕES 270X120X40CM, MODELO MULT-INERCIAL - FORNECIMENTO E INSTALAÇÃO</t>
  </si>
  <si>
    <t>CAPTOR DE EFLUENTES EM AÇO INOXIDÁVEL AISI 304, COM FILTROS INERCIAIS E LUMINÁRIAS G.P IP-65, DIMENSÕES 120X90X40CM, MODELO MULT-INERCIAL - FORNECIMENTO E INSTALAÇÃO</t>
  </si>
  <si>
    <t>4.2.22</t>
  </si>
  <si>
    <t>4.2.23</t>
  </si>
  <si>
    <t>4.2.24</t>
  </si>
  <si>
    <t>4.2.25</t>
  </si>
  <si>
    <t>4.2.26</t>
  </si>
  <si>
    <t>4.2.27</t>
  </si>
  <si>
    <t>4.1.3</t>
  </si>
  <si>
    <t>4.1.1</t>
  </si>
  <si>
    <t>0070</t>
  </si>
  <si>
    <t>Limpeza geral de obras com retirada de residuos</t>
  </si>
  <si>
    <t>Composição de referencia - Wind</t>
  </si>
  <si>
    <t>Composição de referencia - IOPES 200402</t>
  </si>
  <si>
    <t>LIMPEZA GERAL DE OBRAS COM RETIRADA DE RESIDUOS</t>
  </si>
  <si>
    <t>INSTALAÇÕES ELÉTRICAS/VDI</t>
  </si>
  <si>
    <t>%</t>
  </si>
  <si>
    <r>
      <t xml:space="preserve">Tubo PVC </t>
    </r>
    <r>
      <rPr>
        <sz val="8"/>
        <rFont val="Calibri"/>
        <family val="2"/>
      </rPr>
      <t>Ø</t>
    </r>
    <r>
      <rPr>
        <sz val="8"/>
        <rFont val="Arial"/>
        <family val="2"/>
      </rPr>
      <t xml:space="preserve"> 150mm isolado (L=3,80m) - Fornecimento e Instalação</t>
    </r>
  </si>
  <si>
    <t>TUBO PVC Ø 150MM ISOLADO (L=3,80M) - FORNECIMENTO E INSTALAÇÃO</t>
  </si>
  <si>
    <t>INSTALAÇÕES DE SPDA E ATERRAMENTO</t>
  </si>
  <si>
    <t>CORDOALHA DE COBRE NU 35 MM², NÃO ENTERRADA, COM ISOLADOR - FORNECIMENTO E INSTALAÇÃO</t>
  </si>
  <si>
    <t>7.3</t>
  </si>
  <si>
    <t>HASTE DE ATERRAMENTO 3/4 PARA SPDA - FORNECIMENTO E INSTALAÇÃO</t>
  </si>
  <si>
    <t>CAIXA DE INSPEÇÃO PARA ATERRAMENTO, CIRCULAR, EM POLIETILENO, DIÂMETRO INTERNO = 0,3 M - FORNECIMENTO E INSTALAÇÃO</t>
  </si>
  <si>
    <t>CONECTOR METALICO TIPO PARAFUSO FENDIDO (SPLIT BOLT), COM SEPARADOR DE CABOS BIMETALICOS, PARA CABOS ATE 50 MM2</t>
  </si>
  <si>
    <t xml:space="preserve">SERVENTE COM ENCARGOS COMPLEMENTARES </t>
  </si>
  <si>
    <t>Composição de referencia - ORSE 11770</t>
  </si>
  <si>
    <t>0071</t>
  </si>
  <si>
    <t>Conector parafuso conector haste/cabo de bronze para cordoalha de 50mm2 - Fornecimento e Instalacao</t>
  </si>
  <si>
    <t>CONECTOR PARAFUSO CONECTOR HASTE/CABO DE BRONZE PARA CORDOALHA DE 50MM2 - FORNECIMENTO E INSTALACAO</t>
  </si>
  <si>
    <t>ELETRODUTO RÍGIDO SOLDÁVEL, PVC, DN 32 MM (1), APARENTE, INSTALADO EM PAREDE - FORNECIMENTO E INSTALAÇÃO</t>
  </si>
  <si>
    <t>0072</t>
  </si>
  <si>
    <t>CAIXA DE INSPEÇÃO EM ALUMÍNIO FUNDIDO 160X160MM COM BOCAL PARA Ø1”</t>
  </si>
  <si>
    <t>Composição de referencia - SINAPI 100556 - com adequação</t>
  </si>
  <si>
    <t>0073</t>
  </si>
  <si>
    <t>Composição de referencia - SINAPI 04780 - com adequação</t>
  </si>
  <si>
    <t>ADESIVO ESTRUTURAL A BASE DE RESINA EPOXI, BICOMPONENTE, PASTOSO TIXOTROPICO)</t>
  </si>
  <si>
    <t>SUPORTE FIXADOR COLÁVEL DE 60MM DE DIÂMETRO (ADERIDISCO)</t>
  </si>
  <si>
    <t>0074</t>
  </si>
  <si>
    <t>Composição de referencia - IOPES 160335</t>
  </si>
  <si>
    <t>AJUDANTE DE PEDREIRO COM ENCARGOS COMPLEMENTARES</t>
  </si>
  <si>
    <t>TELA BELINOX, L=245MM/E=1,5MM INOX-TEL-752 (LABOR)</t>
  </si>
  <si>
    <t>IOPES</t>
  </si>
  <si>
    <t>0075</t>
  </si>
  <si>
    <t>REATERRO MANUAL APILOADO COM SOQUETE</t>
  </si>
  <si>
    <t>Composição de referencia - ESTIMATIVA</t>
  </si>
  <si>
    <t>EXECUÇÃO DE ESCAVAÇÃO MANUAL DE VALAS 30 X 50 CM, INCLUSIVE REATERRO</t>
  </si>
  <si>
    <t>CORDOALHA DE COBRE NU 50 MM², ENTERRADA, SEM ISOLADOR - FORNECIMENTO E INSTALAÇÃO</t>
  </si>
  <si>
    <t>SUPORTE FIXADOR COLÁVEL DE 60MM DE DIÂMETRO - FORNECIMENTO E INSTALAÇÃO</t>
  </si>
  <si>
    <t>TELA EM INOX - LARGURA = 250MM E ESPESSURA = 1,5MM - FORNECIMENTO E INSTALAÇÃO</t>
  </si>
  <si>
    <t>MIUDEZAS - FORNECIMENTO E INSTALAÇÃO</t>
  </si>
  <si>
    <t>CONECTOR EMENDA/MEDIÇÃO 35MM2</t>
  </si>
  <si>
    <t>Caixa de inspeção em alumínio fundido 160x160mm com bocal para Ø1", inclusive conector emenda/medição - Fornecimento e Instalação</t>
  </si>
  <si>
    <t>CAIXA DE INSPEÇÃO EM ALUMÍNIO FUNDIDO 160X160MM COM BOCAL PARA Ø1”, INCLUSIVE CONECTOR EMENDA/MEDIÇÃO - FORNECIMENTO E INSTALAÇÃO</t>
  </si>
  <si>
    <t>Composição de referencia - IOPES 160312</t>
  </si>
  <si>
    <t>CARTUCHO P/ SOLDA EXOTERMICA NR 35</t>
  </si>
  <si>
    <t>ALICATE  Z-201</t>
  </si>
  <si>
    <t>KIT COMPLETO PARA SOLDA EXOTÉRMICA CABO 50MM2 - FORNECIMENTO E EXECUÇÃO</t>
  </si>
  <si>
    <t>MOLDE DE SOLDA EXOTÉRMICA PARA CABO COBRE NU 50 MM²</t>
  </si>
  <si>
    <t>0020</t>
  </si>
  <si>
    <t>Luminária de led 25w (piso externo), com lâmpada - Fornecimento e Instalação</t>
  </si>
  <si>
    <t>SUPORTE DE DUTOS "S1" - FORNECIMENTO E INSTALAÇÃO</t>
  </si>
  <si>
    <t>SUPORTE DE DUTOS "S2" - FORNECIMENTO E INSTALAÇÃO</t>
  </si>
  <si>
    <t>CAPTOR DE EFLUENTES EM AÇO INOXIDÁVEL AISI 304, COM LUMINÁRIAS G.P IP-65, DIMENSÕES 90X90X40CM, MODELO LEVE - FORNECIMENTO E INSTALAÇÃO</t>
  </si>
  <si>
    <t>7.4</t>
  </si>
  <si>
    <t>7.5</t>
  </si>
  <si>
    <t>7.6</t>
  </si>
  <si>
    <t>7.7</t>
  </si>
  <si>
    <t>7.8</t>
  </si>
  <si>
    <t>7.9</t>
  </si>
  <si>
    <t>7.10</t>
  </si>
  <si>
    <t>7.11</t>
  </si>
  <si>
    <t>7.12</t>
  </si>
  <si>
    <t>9.1</t>
  </si>
  <si>
    <t>9.1.1</t>
  </si>
  <si>
    <t>9.1.2</t>
  </si>
  <si>
    <t>9.2</t>
  </si>
  <si>
    <t>9.2.1</t>
  </si>
  <si>
    <t>9.2.2</t>
  </si>
  <si>
    <t>9.2.3</t>
  </si>
  <si>
    <t>BASE</t>
  </si>
  <si>
    <t>DISCRIMINAÇÃO</t>
  </si>
  <si>
    <t>PREÇO TOTAL (R$)</t>
  </si>
  <si>
    <t xml:space="preserve">TOTAL GERAL DOS SERVIÇOS COM BDI </t>
  </si>
  <si>
    <t>PLANILHA DE SERVIÇOS (REFERENCIAL) PARA CONTRATAÇÃO EMPRESA REGIME EMPREITADA GLOBAL PARA EXECUÇÃO DAS INSTALAÇÕES DA ESCOLA DO CAP</t>
  </si>
  <si>
    <t>LOCAL: MUNICIPIO DE POCONÉ - MT</t>
  </si>
  <si>
    <t>CÓDIGO</t>
  </si>
  <si>
    <t>DESCRIÇÃO</t>
  </si>
  <si>
    <t>CUSTO UNITÁRIO</t>
  </si>
  <si>
    <t>CUSTO TOTAL</t>
  </si>
  <si>
    <t>DATA BASE:</t>
  </si>
  <si>
    <t>PLANILHA DE PREÇOS UNITÁRIOS DO ORÇAMENTO DE REFERENCIA</t>
  </si>
  <si>
    <t>PLACA DE OBRA EM CHAPA AÇO GALVANIZADO - FORNECIMENTO E INSTALAÇÃO</t>
  </si>
  <si>
    <t>AUXILIAR DE ELETRICISTA COM ENCARGOS COMPLEMENTARES</t>
  </si>
  <si>
    <t>ALVENARIA DE VEDAÇÃO DE BLOCOS CERÂMICOS FURADOS NA VERTICAL DE 9X19X39 CM (ESPESSURA 9 CM) E ARGAMASSA DE ASSENTAMENTO COM PREPARO EM BETONEIRA</t>
  </si>
  <si>
    <t>ARRUELA LISA DE AÇO GALVANIZADA DE Ø 1/4"</t>
  </si>
  <si>
    <t xml:space="preserve">SERRALHEIRO COM ENCARGOS COMPLEMENTARES </t>
  </si>
  <si>
    <t>4.2.28</t>
  </si>
  <si>
    <t>CAIXA DE FILTRAGEM EM AÇO GALVANIZADO - FORNECIMENTO E INSTALAÇÃO</t>
  </si>
  <si>
    <t>Caixa de filtragem em aço galvanizado - Fornecimento e Instalação</t>
  </si>
  <si>
    <t>CAIXA DE FILTRAGEM EM AÇO GALVANIZADO</t>
  </si>
  <si>
    <t>0076</t>
  </si>
  <si>
    <t>Portas de Inspeção com manoplas, em açoiInoxidável, dimensões 30x30cm - Fornecimento e Instalação</t>
  </si>
  <si>
    <t>Kit completo para solda exotérmica cabo 50mm2 - Fornecimento e Instalação</t>
  </si>
  <si>
    <t>Quadro de comando de bomba de incêndio - Fornecimento e Instalação</t>
  </si>
  <si>
    <t>Instalação do lavador de gases</t>
  </si>
  <si>
    <t>Instalação da caixa de ventilação</t>
  </si>
  <si>
    <t xml:space="preserve">Instalação do conjunto moto ventilador centrífugo de exaustão </t>
  </si>
  <si>
    <t>Quadro de força e controle "QF-EX" - Fornecimento e Instalação</t>
  </si>
  <si>
    <t xml:space="preserve">Grelha de insuflamento de dupla deflexão com registro, dimensões 65x30cm - Fornecimento e Instalação </t>
  </si>
  <si>
    <t>Damper de regulagem em aço galvanizado, dimensões 35x30cm - Fornecimento e Instalação</t>
  </si>
  <si>
    <t>Damper de regulagem em aço galvanizado, dimensões 60x30cm - Fornecimento e Instalação</t>
  </si>
  <si>
    <t>Damper de regulagem em aço galvanizado, dimensões 65x30cm - Fornecimento e Instalação</t>
  </si>
  <si>
    <t>Damper corta fogo com fusível térmico bi-metálico de 144ºC, dimensões 30x30cm - Fornecimento e Instalação</t>
  </si>
  <si>
    <t>Damper corta fogo com fusível térmico bi-metálico de 144ºC, dimensões 60x30cm - Fornecimento e Instalação</t>
  </si>
  <si>
    <t>CABO DE COBRE ISOLADO EM EPR FLEXÍVEL UNIPOLAR 50MM² - 0,6KV/1KV/90° - FORNECIMENTO E INSTALAÇÃO</t>
  </si>
  <si>
    <t>CABO DE COBRE ISOLADO EM EPR FLEXÍVEL UNIPOLAR 70MM² - 0,6KV/1KV/90° - FORNECIMENTO E INSTALAÇÃO</t>
  </si>
  <si>
    <t>CABO DE COBRE ISOLADO EM EPR FLEXÍVEL UNIPOLAR 120MM² - 0,6KV/1KV/90° - FORNECIMENTO E INSTALAÇÃO</t>
  </si>
  <si>
    <t>CABO DE COBRE ISOLADO EM EPR FLEXÍVEL UNIPOLAR 150MM² - 0,6KV/1KV/90° - FORNECIMENTO E INSTALAÇÃO</t>
  </si>
  <si>
    <t>CABO DE COBRE ISOLADO EM EPR FLEXÍVEL UNIPOLAR 240MM² - 0,6KV/1KV/90° - FORNECIMENTO E INSTALAÇÃO</t>
  </si>
  <si>
    <t>CORDOALHA DE COBRE NU 70 MM², ENTERRADA, SEM ISOLADOR - FORNECIMENTO E M CR 67,70</t>
  </si>
  <si>
    <t>TRANSFORMADOR TRIFÁSICO C/ DERIV 300 KVA, AT 13800V, BT 220/127V IMERSO EM OLEO MINERAL</t>
  </si>
  <si>
    <t xml:space="preserve">PARAFUSO DE ACO TIPO CHUMBADOR PARABOLT, DIAMETRO 3/8", COMPRIMENTO 75 MM </t>
  </si>
  <si>
    <t>Composição de referencia - SINAPI 103266 (Modificado) / EMOP 15.005.0260-0 /  Estimativa</t>
  </si>
  <si>
    <t>INSTALAÇÃO DE APARELHOS DE AR CONDICIONADO SPLIT 60.000 BTU'S TIPO CASSETE, INCLUSIVE: TUBULAÇÕES, ISOLAMENTO TÉRMICO, SUPORTES, ALIMENTAÇÃO ELÉTRICA, CONEXÕES, ETC.</t>
  </si>
  <si>
    <t>Instalação de aparelhos de ar condicionado split 60.000 Btu's tipo cassete, inclusive: tubulações, isolamento térmico, suportes, alimentação elétrica, conexões, etc.</t>
  </si>
  <si>
    <t>TUBO DE COBRE FLEXIVEL, D = 1/2 ", E = 0,79 MM, PARA AR-CONDICIONADO/ INSTALACOES GAS RESIDENCIAIS E COMERCIAIS</t>
  </si>
  <si>
    <t>0077</t>
  </si>
  <si>
    <t>Composição de referencia - SINAPI 100802 com adequações</t>
  </si>
  <si>
    <t>AUXILIAR DE ENCANADOR OU BOMBEIRO HIDRÁULICO COM ENCARGOS COMPLEMENTARES.</t>
  </si>
  <si>
    <t>ENCANADOR OU BOMBEIRO HIDRÁULICO COM ENCARGOS COMPLEMENTARES.</t>
  </si>
  <si>
    <t>MANGUEIRA VÁCUO/AR LEVE Ø 1 1/4"</t>
  </si>
  <si>
    <t>BUCHA DE REDUCAO DE PVC, SOLDAVEL, CURTA, COM 32 X 25 MM, PARA AGUA FRIA PREDIAL</t>
  </si>
  <si>
    <t xml:space="preserve"> TUBO, PVC, SOLDÁVEL, DN 25MM, INSTALADO EM RAMAL OU SUB-RAMAL DE ÁGUA - FORNECIMENTO E INSTALAÇÃO. </t>
  </si>
  <si>
    <t>JOELHO 90 GRAUS, PVC, SOLDÁVEL, DN 25MM, INSTALADO EM RAMAL DE DISTRIBUIÇÃO DE ÁGUA - FORNECIMENTO E INSTALAÇÃO.</t>
  </si>
  <si>
    <t>ABRACADEIRA, GALVANIZADA/ZINCADA, ROSCA SEM FIM, PARAFUSO INOX, LARGURA FITA *12,6 A *14 MM, D = 2" A 2 1/2"</t>
  </si>
  <si>
    <t>DRENO AR CONDICIONADO (MANGUEIRA CORRUGADA FLEXÍVEL Ø 1 1/4") - FORNECIMENTO E INSTALAÇÃO</t>
  </si>
  <si>
    <t>CONDULETE DE ALUMÍNIO, TIPO LR, PARA ELETRODUTO DE AÇO GALVANIZADO DN 20 MM (3/4''), APARENTE - FORNECIMENTO E INSTALAÇÃO.</t>
  </si>
  <si>
    <t>3.6.2</t>
  </si>
  <si>
    <t>3.6.3</t>
  </si>
  <si>
    <t>3.6.4</t>
  </si>
  <si>
    <t>3.6.5</t>
  </si>
  <si>
    <t>3.6.6</t>
  </si>
  <si>
    <t>3.6.7</t>
  </si>
  <si>
    <t>3.6.8</t>
  </si>
  <si>
    <t>3.6.9</t>
  </si>
  <si>
    <t>3.6.10</t>
  </si>
  <si>
    <t>3.6.11</t>
  </si>
  <si>
    <t>Rack padrão 19" 12 U 570.0mm x 570.0mm x 515.0mm - Fornecimento e Instalação</t>
  </si>
  <si>
    <t>RACK PADRÃO 19" 12 U 570.0MM X 570.0MM X 515.0MM</t>
  </si>
  <si>
    <t>Composição de referencia - ORSE 08682</t>
  </si>
  <si>
    <t>CABISTA PARA INSTALAÇÃO TELEFÔNICA</t>
  </si>
  <si>
    <t>ENCARGOS COMPLEMENTARES - CABISTA</t>
  </si>
  <si>
    <t>0078</t>
  </si>
  <si>
    <t>ELETRODUTO/DUTO PEAD FLEXIVEL PAREDE SIMPLES, CORRUGACAO HELICOIDAL, COR PRETA, SEM ROSCA, DE 2", PARA CABEAMENTO SUBTERRANEO (NBR 15715)</t>
  </si>
  <si>
    <t>Composição de referencia - ORSE 09479</t>
  </si>
  <si>
    <r>
      <t xml:space="preserve">Fornecimento e assentamento de eletroduto pead flexível corrugado </t>
    </r>
    <r>
      <rPr>
        <sz val="8"/>
        <color theme="1"/>
        <rFont val="Calibri"/>
        <family val="2"/>
      </rPr>
      <t>Ø</t>
    </r>
    <r>
      <rPr>
        <sz val="8"/>
        <color theme="1"/>
        <rFont val="Arial"/>
        <family val="2"/>
      </rPr>
      <t xml:space="preserve"> 2" </t>
    </r>
  </si>
  <si>
    <t xml:space="preserve">TOMADA DE REDE RJ45 - FORNECIMENTO E INSTALAÇÃO. </t>
  </si>
  <si>
    <t>FORNECIMENTO E ASSENTAMENTO DE ELETRODUTO PEAD FLEXÍVEL CORRUGADO Ø 2".</t>
  </si>
  <si>
    <t>0079</t>
  </si>
  <si>
    <t>Ponto de som (sem fiação) com eletroduto e condulete 3/4" - Fornecimento e Instalação</t>
  </si>
  <si>
    <t>Composição de referencia - ORSE 00648 com adequações</t>
  </si>
  <si>
    <t xml:space="preserve">ARAME GALVANIZADO 16 BWG, D = 1,65MM (0,0166 KG/M) </t>
  </si>
  <si>
    <t>CONDULETE DE ALUMINIO TIPO B, PARA ELETRODUTO ROSCAVEL DE 3/4", COM TAMPA
CEGA</t>
  </si>
  <si>
    <t>0080</t>
  </si>
  <si>
    <t>Quadro de sobrepor para lógica com 40x40x15cm - Fornecimento e Instalação</t>
  </si>
  <si>
    <t>Composição de referencia - SINAPI 100556 com adequações</t>
  </si>
  <si>
    <t>QUADRO DE SOBREPOR PARA LÓGICA COM 40X40X15CM</t>
  </si>
  <si>
    <t>ELETRODUTO DE AÇO GALVANIZADO, CLASSE LEVE, DN 20 MM (3/4), APARENTE, INSTALADO EM PAREDE - FORNECIMENTO E INSTALAÇÃO.</t>
  </si>
  <si>
    <t>PONTO DE SOM (SEM FIAÇÃO) COM ELETRODUTO E CONDULETE 3/4" - FORNECIMENTO E INSTALAÇÃO.</t>
  </si>
  <si>
    <t>QUADRO DE SOBREPOR PARA LÓGICA COM 40X40X15CM - FORNECIMENTO E INSTALAÇÃO.</t>
  </si>
  <si>
    <t>0081</t>
  </si>
  <si>
    <t>Fornecimento e lançamento de cabo utp 4 pares cat 6</t>
  </si>
  <si>
    <t>Composição de referencia - ORSE 07138</t>
  </si>
  <si>
    <t>ARAME GALVANIZADO 12 BWG, D = 2,76 MM (0,048 KG/M) OU 14 BWG, D = 2,11 MM (0,026 KG/M)</t>
  </si>
  <si>
    <t>FORNECIMENTO E LANÇAMENTO DE CABO UTP 4 PARES CAT 6.</t>
  </si>
  <si>
    <r>
      <t xml:space="preserve">Fornecimento e assentamento de eletroduto pead flexível corrugado </t>
    </r>
    <r>
      <rPr>
        <sz val="8"/>
        <color theme="1"/>
        <rFont val="Calibri"/>
        <family val="2"/>
      </rPr>
      <t>Ø</t>
    </r>
    <r>
      <rPr>
        <sz val="8"/>
        <color theme="1"/>
        <rFont val="Arial"/>
        <family val="2"/>
      </rPr>
      <t xml:space="preserve"> 3" </t>
    </r>
  </si>
  <si>
    <t>ELETRODUTO/DUTO PEAD FLEXIVEL PAREDE SIMPLES, CORRUGACAO HELICOIDAL, COR PRETA, SEM ROSCA, DE 3", PARA CABEAMENTO SUBTERRANEO (NBR 15715).</t>
  </si>
  <si>
    <r>
      <t xml:space="preserve">FORNECIMENTO E ASSENTAMENTO DE ELETRODUTO PEAD FLEXÍVEL CORRUGADO </t>
    </r>
    <r>
      <rPr>
        <sz val="10"/>
        <color rgb="FF000000"/>
        <rFont val="Arial"/>
        <family val="2"/>
      </rPr>
      <t>Ø</t>
    </r>
    <r>
      <rPr>
        <sz val="10"/>
        <color rgb="FF000000"/>
        <rFont val="Calibri"/>
        <family val="2"/>
      </rPr>
      <t xml:space="preserve"> </t>
    </r>
    <r>
      <rPr>
        <sz val="10"/>
        <color rgb="FF000000"/>
        <rFont val="Arial"/>
        <family val="2"/>
      </rPr>
      <t>3".</t>
    </r>
  </si>
  <si>
    <t>Composição de referencia - SEINFRA C3753</t>
  </si>
  <si>
    <t>CABO OPTICO ASU 80 - 6F</t>
  </si>
  <si>
    <t xml:space="preserve">Fornecimento e lançamento de cabo otico ASU 6F </t>
  </si>
  <si>
    <t>0082</t>
  </si>
  <si>
    <t>RACK PADRÃO 19" 12 U 570 X 570 X 515 MM - FORNECIMENTO E INSTALAÇÃO</t>
  </si>
  <si>
    <t>CAIXA ENTERRADA ELÉTRICA RETANGULAR, EM ALVENARIA COM TIJOLOS CERÂMICO MACIÇOS, FUNDO COM BRITA, DIMENSÕES INTERNAS: 0,30 X 0,30 X 0,30 M.</t>
  </si>
  <si>
    <t>FORNECIMENTO E LANÇAMENTO DE CABO OPTICO 06F SM OUTDOOR ASU-80-S NR.</t>
  </si>
  <si>
    <t>0083</t>
  </si>
  <si>
    <t xml:space="preserve">Fornecimento e instalação de caixa de organizadora de plugs e passagem de cabo para CFTV VBOX </t>
  </si>
  <si>
    <t>CAIXA ORGANIZADORA DE PLUGS E PASSAGEM DE CABO PARA CFTV VBOX</t>
  </si>
  <si>
    <t>Composição de referencia - ORSE 00708</t>
  </si>
  <si>
    <t>LUMINÁRIA DE LED 25W (PISO EXTERNO), COM LÂMPADA - FORNECIMENTO E INSTALAÇÃO.</t>
  </si>
  <si>
    <t>LUMINÁRIA DE LED 50W (SALAS, REFEITÓRIO E BANHEIRO), COM LÂMPADA - FORNECIMENTO E INSTALAÇÃO.</t>
  </si>
  <si>
    <t xml:space="preserve">FORNECIMENTO E INSTALAÇÃO DE CAIXA DE ORGANIZADORA DE PLUGS E PASSAGEM DE CABO PARA CFTV VBOX. </t>
  </si>
  <si>
    <t>LOCAÇÃO DE MÓDULO TIPO CONTAINER MEDINDO 2,30 X 6,00 X 2,50M, CONTENDO UMA PORTA DE ACESSO MEDINDO 0,80 X 2,10M, DUAS JANELAS DE CORRER DE 0,82 X 0,84M, FORRO TÉRMICO NO TETO E REVESTIDO INTERNAMENTE EM PVC. (ALMOXARIFADO) - FORNECIMENTO.</t>
  </si>
  <si>
    <t>LOCAÇÃO DE MÓDULO TIPO CONTAINER MEDINDO 2,30 X 6,00 X 2,50M ALTURA, CONTENDO UMA PORTA DE ACESSO MEDINDO 0,80 X 2,10M, LATERAIS COM TAMPOS ARTICULADOS PARA CIRCULAÇÃO DE AR, FORRO TÉRMICO NO TETO. (REFEITÓRIO) - FORNECIMENTO.</t>
  </si>
  <si>
    <t>LOCAÇÃO DE MÓDULO TIPO CONTAINER MEDINDO 2,30 X 6,00 X 2,50M, CONTENDO UMA PORTA DE ACESSO MEDINDO 0,80 X 2,10M, UMA JANELA DE CORRER DE 0,82 X 0,84M, UMA VENEZIANA FIXA PARA VENTILAÇÃO NA ÁREA DE BANHEIRO, FORRO TÉRMICO NO TETO, 01 VASO SANITÁRIO, 01 PIA LAVABO E REVESTIMENTO EM PVC NA PARTE INTERNA DO MÓDULO. (ESCRITÓRIO) - FORNECIMENTO.</t>
  </si>
  <si>
    <t>LOCAÇÃO DE MÓDULO TIPO CONTAINER MEDINDO 2,30 X 6,00 X 2,50 M, CONTENDO UMA PORTA DE ACESSO MEDINDO 0,80 X 2,10M, VENEZIANAS FIXAS PARA VENTILAÇÃO, INSTALAÇÃO HIDRÁULICA, FORRO TÉRMICO NO TETO, 03 VASOS SANITÁRIOS EM LOUÇA BRANCA, 04 PONTOS DE CHUVEIRO UMA CALHA MICTÓRIO, UMA CALHA LAVATÓRIO. (SANITÁRIO) - FORNECIMENTO.</t>
  </si>
  <si>
    <t xml:space="preserve">MOBILIZAÇÃO E DESMOBILIZAÇÃO DE CONTAINERES. </t>
  </si>
  <si>
    <t>MONTAGEM DE CONTAINERES.</t>
  </si>
  <si>
    <t>DESMONTAGEM DE CONTAINERES.</t>
  </si>
  <si>
    <t>2.9</t>
  </si>
  <si>
    <t>2.10</t>
  </si>
  <si>
    <t>SUPORTE PARA ELETROCALHA LISA OU PERFURADA EM AÇO GALVANIZADO, LARGURA 200 OU 400 MM E ALTURA 50 MM, ESPAÇADO A CADA 1,5 M, EM PERFILADO DE SEÇÃO 38X76 MM, POR METRO DE ELETRECOLHA FIXADA. - FORNECIMENTO E INSTALAÇÃO.</t>
  </si>
  <si>
    <t>Perfilado perfurado chapa 22 medindo 19x38mm, sem tampa - Fornecimento e Instalação.</t>
  </si>
  <si>
    <t>PERFILADO PERFURADO 19 X 38 MM, CHAPA 22</t>
  </si>
  <si>
    <t>PERFILADO PERFURADO CHAPA 22 MEDINDO 19X38MM, SEM TAMPA - FORNECIMENTO E INSTALAÇÃO.</t>
  </si>
  <si>
    <t>3.1.11</t>
  </si>
  <si>
    <t>3.1.12</t>
  </si>
  <si>
    <t>Composição de referencia - SIURB-EDF 09-13-11 com adequações.</t>
  </si>
  <si>
    <t>BARRA ROSCADA ZINCADA Ø 1/4"</t>
  </si>
  <si>
    <t>ARRUELA LISA ZINCADA Ø 1/4"</t>
  </si>
  <si>
    <t>0084</t>
  </si>
  <si>
    <t>Caixa enterrada elétrica retangular, em alvenaria com blocos de concreto, fundo com brita, dimensões internas: 0,6x0,6x0,8m. - Fornecimento e Instalação</t>
  </si>
  <si>
    <t>ESCAVAÇÃO MANUAL DE VALA COM PROFUNDIDADE MENOR OU IGUAL A 1,30 M.</t>
  </si>
  <si>
    <t>LASTRO DE CONCRETO MAGRO, APLICADO EM PISOS, LAJES SOBRE SOLO OU RADIERS.</t>
  </si>
  <si>
    <t xml:space="preserve">BLOCO DE VEDACAO DE CONCRETO, 9 X 19 X 39 CM (CLASSE C - NBR 6136) </t>
  </si>
  <si>
    <t>ARGAMASSA TRAÇO 1:2:8 (EM VOLUME DE CIMENTO, CAL E AREIA MÉDIA ÚMIDA) PARA EMBOÇO/MASSA ÚNICA/ASSENTAMENTO DE ALVENARIA DE VEDAÇÃO, PREPARO MECÂNICO COM BETONEIRA 400 L.</t>
  </si>
  <si>
    <t>PEÇA RETANGULAR PRÉ-MOLDADA, VOLUME DE CONCRETO DE 30 A 100 LITROS, TAXA DE AÇO APROXIMADA DE 30KG/M³.</t>
  </si>
  <si>
    <t>Composição de referencia - SINAPI 97892 com adequações</t>
  </si>
  <si>
    <t xml:space="preserve">REATERRO MANUAL APILOADO COM SOQUETE. </t>
  </si>
  <si>
    <t xml:space="preserve">PREPARO DE FUNDO DE VALA COM LARGURA MENOR QUE 1,5 M, COM CAMADA DE BRITA, LANÇAMENTO MECANIZADO. </t>
  </si>
  <si>
    <t xml:space="preserve">ARGAMASSA TRAÇO 1:3 (EM VOLUME DE CIMENTO E AREIA MÉDIA ÚMIDA), PREPARO MECÂNICO COM BETONEIRA 400 L. </t>
  </si>
  <si>
    <t xml:space="preserve">CAIXA ENTERRADA ELÉTRICA RETANGULAR, EM ALVENARIA COM BLOCOS DE CONCRETO, FUNDO COM BRITA, DIMENSÕES INTERNAS: 0,6X0,6X0,8M. - FORNECIMENTO E INSTALAÇÃO </t>
  </si>
  <si>
    <t>0085</t>
  </si>
  <si>
    <t>Caixa enterrada elétrica retangular, em alvenaria com blocos de concreto, fundo com brita, dimensões internas: 0,8x0,8x1,0m. - Fornecimento e Instalação</t>
  </si>
  <si>
    <t>CAIXA ENTERRADA ELÉTRICA RETANGULAR, EM ALVENARIA COM BLOCOS DE CONCRETO, FUNDO COM BRITA, DIMENSÕES INTERNAS: 0,8X0,8X1,0M. - FORNECIMENTO E INSTALAÇÃO</t>
  </si>
  <si>
    <t>TAMPÃO 60X60 ARTICULADO EM FERRO FUNDIDO</t>
  </si>
  <si>
    <t>3.1.13</t>
  </si>
  <si>
    <t>Conector parafuso conector haste/cabo de bronze para cordoalha de 70mm2 - Fornecimento e Instalacao</t>
  </si>
  <si>
    <t>CONECTOR PARAFUSO CONECTOR HASTE/CABO DE BRONZE PARA CORDOALHA DE 70MM2 - FORNECIMENTO E INSTALACAO</t>
  </si>
  <si>
    <t>Subestação Aérea de 300KV-220/127V, instalado em plataforma ao tempo, padrão Energisa, inclusive mureta de medição - Fornecimento e Instalação</t>
  </si>
  <si>
    <t>SUBESTAÇÃO AÉREA DE 300KV-220/127V, INSTALADO EM PLATAFORMA AO TEMPO, PADRÃO ENERGISA, INCLUSIVE MURETA DE MEDIÇÃO - FORNECIMENTO E INSTALAÇÃO.</t>
  </si>
  <si>
    <t xml:space="preserve">ELETRICISTA COM ENCARGOS COMPLEMENTARES </t>
  </si>
  <si>
    <t>Estimativa</t>
  </si>
  <si>
    <t>0086</t>
  </si>
  <si>
    <t xml:space="preserve">ENGENHEIRO ELETRICISTA COM ENCARGOS COMPLEMENTARES </t>
  </si>
  <si>
    <t xml:space="preserve">Testes e Verificações Gerais </t>
  </si>
  <si>
    <t>TESTES E VERIFICAÇÕES GERAIS</t>
  </si>
  <si>
    <t>3.1.14</t>
  </si>
  <si>
    <t>3.1.15</t>
  </si>
  <si>
    <t>3.1.16</t>
  </si>
  <si>
    <t>0087</t>
  </si>
  <si>
    <t>Elaboração de databook</t>
  </si>
  <si>
    <t>AUXILIAR TÉCNICO DE ENGENHARIA COM ENCARGOS COMPLEMENTARES</t>
  </si>
  <si>
    <t>DESENHISTA COPISTA COM ENCARGOS COMPLEMENTARES</t>
  </si>
  <si>
    <t>DESPESAS COM DIGITALIZAÇÃO, COPIAS E ENCADERNAÇÃO</t>
  </si>
  <si>
    <t>8.3</t>
  </si>
  <si>
    <t>8.4</t>
  </si>
  <si>
    <t>ELABORAÇÃO DE DATABOOK</t>
  </si>
  <si>
    <t>0088</t>
  </si>
  <si>
    <t>Testes, laudos e autorizações para interligação do trafo a rede - Energisa</t>
  </si>
  <si>
    <t>TESTES, LAUDOS E AUTORIZAÇÕES PARA INTERLIGAÇÃO DO TRAFO A REDE – ENERGISA</t>
  </si>
  <si>
    <t>Cabo de cobre isolado em EPR flexível unipolar 50mm² - 0,6Kv/1Kv/90° - Fornecimento e Instalação</t>
  </si>
  <si>
    <t>CABO DE COBRE ISOLADO EPR, FLEXIVEL, 50MM², 0,6/1KV / 90º C (EPROTENAX-G7 OU SIMILAR)</t>
  </si>
  <si>
    <t>Cabo de cobre isolado em EPR flexível unipolar 70mm² - 0,6Kv/1Kv/90° - Fornecimento e Instalação</t>
  </si>
  <si>
    <t>CABO DE COBRE ISOLADO EPR, FLEXIVEL, 70MM², 0,6/1KV / 90º C (EPROTENAX-G7 OU SIMILAR)</t>
  </si>
  <si>
    <t>Cabo de cobre isolado em EPR flexível unipolar 120mm² - 0,6Kv/1Kv/90° - Fornecimento e Instalação</t>
  </si>
  <si>
    <t>CABO DE COBRE ISOLADO EPR, FLEXIVEL, 120MM², 0,6/1KV / 90º C (EPROTENAX-G7 OU SIMILAR)</t>
  </si>
  <si>
    <t>Cabo de cobre isolado em EPR flexível unipolar 150mm² - 0,6Kv/1Kv/90° - Fornecimento e Instalação</t>
  </si>
  <si>
    <t>CABO DE COBRE ISOLADO EPR, FLEXIVEL, 150MM², 0,6/1KV / 90º C (EPROTENAX-G7 OU SIMILAR)</t>
  </si>
  <si>
    <t>Cabo de cobre isolado em EPR flexível unipolar 240mm² - 0,6Kv/1Kv/90° - Fornecimento e Instalação</t>
  </si>
  <si>
    <t>CABO DE COBRE ISOLADO EPR, FLEXIVEL, 240MM², 0,6/1KV / 90º C (EPROTENAX-G7 OU SIMILAR)</t>
  </si>
  <si>
    <t>3.2.9</t>
  </si>
  <si>
    <t>3.2.10</t>
  </si>
  <si>
    <t>3.2.11</t>
  </si>
  <si>
    <t>3.2.12</t>
  </si>
  <si>
    <t>Envelopamento com concreto simples consumo mínimo de cimento de 250kg/m3, inclusive escavação</t>
  </si>
  <si>
    <t>DESTINAÇÃO FINAL DO ESGOTO</t>
  </si>
  <si>
    <t>FOSSA BANANEIRA</t>
  </si>
  <si>
    <t>ESCAVAÇÃO MECANIZADA DE VALA COM PROF. ATÉ 1,5 M (MÉDIA MONTANTE E JUSANTE/UMA COMPOSIÇÃO POR TRECHO), ESCAVADEIRA (0,8 M3), LARG. DE 1,5 M A 2,5 M, EM SOLO DE 1A CATEGORIA, LOCAIS COM BAIXO NÍVEL DE INTERFERÊNCIA.</t>
  </si>
  <si>
    <t xml:space="preserve">TANQUE SÉPTICO RETANGULAR, DIMENSÕES INTERNAS: 2,3 X 15,0 X 1,6 M </t>
  </si>
  <si>
    <t>SUMIDOURO</t>
  </si>
  <si>
    <t>ESCORAMENTO DE VALAS TIPO PONTALETE - FORNECIMENTO E INSTALAÇÃO.</t>
  </si>
  <si>
    <t xml:space="preserve">SUMIDOURO COM PAREDES DE TIJOLO MAÇICO (DOBRADO), Ø(INT) = 3,00M, H=3,00M. </t>
  </si>
  <si>
    <t xml:space="preserve">TUBO DE PVC ESGOTO Ø150MM, INCLUSIVE CONEXÕES, ESCAVAÇÃO MANUAL, PREPARO DE FUNDO DE VALA E REATERRO COM AREIA - FORNECIMENTO E INSTALAÇÃO </t>
  </si>
  <si>
    <t>PAISAGISMO</t>
  </si>
  <si>
    <t>BANCO CIRCULAR DE MADEIRA "MODELO 1" - FORNECIMENTO E INSTALAÇÃO</t>
  </si>
  <si>
    <t xml:space="preserve">BANCO CIRCULAR DE MADEIRA "MODELO 2" - FORNECIMENTO E INSTALAÇÃO </t>
  </si>
  <si>
    <t>BANCO CIRCULAR DE MADEIRA "MODELO 3" - FORNECIMENTO E INSTALAÇÃO</t>
  </si>
  <si>
    <t>BANCO CIRCULAR DE MADEIRA "MODELO 4" - FORNECIMENTO E INSTALAÇÃO</t>
  </si>
  <si>
    <t>ESTRUTURAÇÃO DE BASE PARA NIVELAMENTO DO DECK EM RIPAS DE ITAÚBA 2,5CM APARELHADAS, VERNIZ DE PROTEÇÃO - FORNECIMENTO E INSTALAÇÃO</t>
  </si>
  <si>
    <t>DECK EM RÉGUAS DE GARAPEIRA 10X4CM, SOBRE PERFIS METÁLICOS, PROTEÇÃO E ACABAMENTO EM VERNIZ, E PARAFUSO FRÂNCES CABEÇA ABAULADA - FORNECIMENTO E INSTALAÇÃO</t>
  </si>
  <si>
    <t>SISTEMA DE DRENAGEM DE ÁGUAS PLUVIAIS</t>
  </si>
  <si>
    <t xml:space="preserve">CONSTRUÇÃO DE CAIXA COLETORA DE ÁGUAS PLUVIAIS DE 1,20X1,20X0,70M EM ALVENARIA DE BLOCOS DE CONCRETO. </t>
  </si>
  <si>
    <r>
      <t xml:space="preserve">CONSTRUÇÃO DE CAIXA RECEPTORA DE ÁGUAS PLUVIAIS DA REDE PÚBLICA, </t>
    </r>
    <r>
      <rPr>
        <sz val="10"/>
        <color rgb="FF000000"/>
        <rFont val="Arial"/>
        <family val="2"/>
      </rPr>
      <t>Ø1,20X0,80M EM ANÉIS DE CONCRETO PRÉ MOLDADO.</t>
    </r>
  </si>
  <si>
    <t>CONSTRUÇÃO DE CAIXA DE BRITA PARA DRENAGEM, Ø0,60X0,40M, PREENCHIDA COM BRITA 3.</t>
  </si>
  <si>
    <t>CONSTRUÇÃO DE CAIXA DE BRITA PARA DRENAGEM, Ø0,80X0,40M, PREENCHIDA COM BRITA 3.</t>
  </si>
  <si>
    <t xml:space="preserve">CONSTRUÇÃO DE CAIXA DE PASSAGEM PARA DRENAGEM Ø0,80M, COM BASE E TAMPA EM CONCRETO ARMADO. </t>
  </si>
  <si>
    <t>CONSTRUÇÃO DE CAIXA DE PASSAGEM PARA DRENAGEM Ø1,00M, COM BASE E TAMPA EM CONCRETO ARMADO.</t>
  </si>
  <si>
    <t xml:space="preserve">CANALETA MEIA CANA PRÉ-MOLDADA DE CONCRETO Ø40CM COM BRITA Nº3, INCLUSIVE ESCAVAÇÃO  - FORNECIMENTO E INSTALAÇÃO. </t>
  </si>
  <si>
    <t>CANALETA DE DRENAGEM EM ALVENARIA DE BLOCOS DE CONCRETO, LARGURA ÚTIL DE 60CM, FUNDO E GRELHAS EM CONCRETO ARMADO – FORNECIMENTO E INSTALAÇÃO.</t>
  </si>
  <si>
    <t>CANALETA DE DRENAGEM EM ALVENARIA DE BLOCOS DE CONCRETO, LARGURA ÚTIL DE 80CM, FUNDO E GRELHAS EM CONCRETO ARMADO – FORNECIMENTO E INSTALAÇÃO.</t>
  </si>
  <si>
    <r>
      <t xml:space="preserve">FORNECIMENTO E ASSENTAMENTO DE TUBO CORRUGADO PAREDE DUPLA PEAD, </t>
    </r>
    <r>
      <rPr>
        <sz val="10"/>
        <color rgb="FF000000"/>
        <rFont val="Calibri"/>
        <family val="2"/>
      </rPr>
      <t>Ø</t>
    </r>
    <r>
      <rPr>
        <sz val="10"/>
        <color rgb="FF000000"/>
        <rFont val="Arial"/>
        <family val="2"/>
      </rPr>
      <t xml:space="preserve"> 150MM PARA SISTEMAS DRENAGEM.</t>
    </r>
  </si>
  <si>
    <r>
      <t xml:space="preserve">FORNECIMENTO E ASSENTAMENTO DE TUBO CORRUGADO PAREDE DUPLA PEAD, </t>
    </r>
    <r>
      <rPr>
        <sz val="10"/>
        <color rgb="FF000000"/>
        <rFont val="Calibri"/>
        <family val="2"/>
      </rPr>
      <t>Ø</t>
    </r>
    <r>
      <rPr>
        <sz val="10"/>
        <color rgb="FF000000"/>
        <rFont val="Arial"/>
        <family val="2"/>
      </rPr>
      <t xml:space="preserve"> 200MM PARA SISTEMAS DRENAGEM.</t>
    </r>
  </si>
  <si>
    <r>
      <t xml:space="preserve">FORNECIMENTO E ASSENTAMENTO DE TUBO CORRUGADO PAREDE DUPLA PEAD, </t>
    </r>
    <r>
      <rPr>
        <sz val="10"/>
        <color rgb="FF000000"/>
        <rFont val="Calibri"/>
        <family val="2"/>
      </rPr>
      <t>Ø</t>
    </r>
    <r>
      <rPr>
        <sz val="10"/>
        <color rgb="FF000000"/>
        <rFont val="Arial"/>
        <family val="2"/>
      </rPr>
      <t xml:space="preserve"> 250MM PARA SISTEMAS DRENAGEM.</t>
    </r>
  </si>
  <si>
    <t xml:space="preserve">92210
</t>
  </si>
  <si>
    <t xml:space="preserve">TUBO DE CONCRETO PARA REDES COLETORAS DE ÁGUAS PLUVIAIS, DIÂMETRO DE 400 MM, JUNTA RÍGIDA, INSTALADO EM LOCAL COM BAIXO NÍVEL DE INTERFERÊNCIAS - FORNECIMENTO E ASSENTAMENTO. </t>
  </si>
  <si>
    <t>OUTROS SERVIÇOS</t>
  </si>
  <si>
    <t>OBRA: EXECUÇÃO DAS INSTALAÇÕES E DEMAIS SERVIÇOS DA ESCOLA DE ENSINO FUNDAMENTAL II</t>
  </si>
  <si>
    <t>ENCARREGADO GERAL DE OBRAS COM ENCARGOS COMPLEMENTARES</t>
  </si>
  <si>
    <t>ALMOXARIFE COM ENCARGOS COMPLEMENTARES</t>
  </si>
  <si>
    <t>TÉCNICO DE SEGURANÇA</t>
  </si>
  <si>
    <t>1.1</t>
  </si>
  <si>
    <t>1.2</t>
  </si>
  <si>
    <t>1.3</t>
  </si>
  <si>
    <t>1.4</t>
  </si>
  <si>
    <t>1.5</t>
  </si>
  <si>
    <t>1.6</t>
  </si>
  <si>
    <t>1.7</t>
  </si>
  <si>
    <t>TOMADA MÉDIA DE EMBUTIR (1 MÓDULO), 2P+T 10 A, INCLUINDO SUPORTE E PLACA - FORNECIMENTO E INSTALAÇÃO.</t>
  </si>
  <si>
    <t>TOMADA MÉDIA DE EMBUTIR (2 MÓDULOS), 2P+T 10 A, SEM SUPORTE E SEM PLACA - FORNECIMENTO E INSTALAÇÃO.</t>
  </si>
  <si>
    <t>INTERRUPTOR SIMPLES (1 MÓDULO), 10A/250V, INCLUINDO SUPORTE E PLACA - FORNECIMENTO E INSTALAÇÃO.</t>
  </si>
  <si>
    <t>INTERRUPTOR SIMPLES (2 MÓDULOS), 10A/250V, INCLUINDO SUPORTE E PLACA - FORNECIMENTO E INSTALAÇÃO.</t>
  </si>
  <si>
    <t>INTERRUPTOR SIMPLES (3 MÓDULOS), 10A/250V, INCLUINDO SUPORTE E PLACA - FORNECIMENTO E INSTALAÇÃO.</t>
  </si>
  <si>
    <t>EXECUÇÃO DE PASSEIO (CALÇADA) OU PISO DE CONCRETO COM CONCRETO MOLDADO IN LOCO, FEITO EM OBRA, ACABAMENTO CONVENCIONAL, ESPESSURA 10 CM, ARMADO.</t>
  </si>
  <si>
    <t>Estimado</t>
  </si>
  <si>
    <t>CHUMBADOR PARABOLT Ø 1/4" X 2"</t>
  </si>
  <si>
    <t>76.46.03</t>
  </si>
  <si>
    <t>SUDECAP-CONST</t>
  </si>
  <si>
    <t>POSTE PARA GRADIL NYLOFOR 3D H= 2.60 M OU EQUIVALENTE</t>
  </si>
  <si>
    <t>78.13.01</t>
  </si>
  <si>
    <t>GRADIL NYLOFOR 3D H= 2.03 M OU EQUIVALENTE</t>
  </si>
  <si>
    <t>Composição de referencia - SUDECAP-CONST. 13.38.29</t>
  </si>
  <si>
    <t>CHAPA DE ACO FINA A QUENTE BITOLA MSG 3/16 ", E = 4,75 MM (38,00 KG/M2)</t>
  </si>
  <si>
    <t xml:space="preserve">ELETRODO REVESTIDO AWS - E-6010, DIAMETRO IGUAL A 4,00 MM </t>
  </si>
  <si>
    <t xml:space="preserve">CARPINTEIRO DE FORMAS COM ENCARGOS COMPLEMENTARES </t>
  </si>
  <si>
    <t>Elaboração de projeto "as buit" das instalações executadas</t>
  </si>
  <si>
    <t>Composição de referencia - SINAPI 91002 com adequação</t>
  </si>
  <si>
    <t>Espelho / placa cega 4" x 2", para instalacao de tomadas e interruptores - Fornecimento e Instalação</t>
  </si>
  <si>
    <t xml:space="preserve">ESPELHO / PLACA CEGA 4" X 2", PARA INSTALACAO DE TOMADAS E INTERRUPTORES </t>
  </si>
  <si>
    <t xml:space="preserve">GRAMPO PARALELO METALICO PARA CABO DE 6 A 50 MM2, COM 2 PARAFUSOS </t>
  </si>
  <si>
    <t>ENGENHEIRO CIVIL JUNIOR COM ENCARGOS COMPLEMENTARES</t>
  </si>
  <si>
    <t>CONECTOR METALICO TIPO PARAFUSO FENDIDO (SPLIT BOLT), COM SEPARADOR DE CABOS BIMETALICOS, PARA CABOS ATE 70 MM2</t>
  </si>
  <si>
    <t>CABO DE PAR TRANCADO UTP, 4 PARES, CATEGORIA 6</t>
  </si>
  <si>
    <t>0021-A</t>
  </si>
  <si>
    <t>0021-B</t>
  </si>
  <si>
    <t>0021-C</t>
  </si>
  <si>
    <t>0021-D</t>
  </si>
  <si>
    <t>0021-E</t>
  </si>
  <si>
    <t xml:space="preserve">Tanque séptico retangular, dimensões internas: 2,3 x 15,0 x 1,6 m </t>
  </si>
  <si>
    <t xml:space="preserve">BLOCO DE VEDACAO DE CONCRETO 19 X 19 X 39 CM (CLASSE C - NBR 6136) </t>
  </si>
  <si>
    <t xml:space="preserve">CANALETA DE CONCRETO 19 X 19 X 19 CM (CLASSE C - NBR 6136) </t>
  </si>
  <si>
    <t xml:space="preserve">TE, PVC LEVE, CURTO, 90 GRAUS, 150 MM, PARA ESGOTO PREDIAL </t>
  </si>
  <si>
    <t xml:space="preserve">JOELHO PVC LEVE, 90 GRAUS, DN 150 MM, PARA ESGOTO PREDIAL </t>
  </si>
  <si>
    <t xml:space="preserve">CAP, PVC, JE, OCRE, DN 150 MM (CONEXAO PARA TUBO COLETOR DE ESGOTO) </t>
  </si>
  <si>
    <t>ADESIVO PLASTICO PARA PVC, FRASCO COM 175 GR</t>
  </si>
  <si>
    <t>SOLUCAO PREPARADORA / LIMPADORA PARA PVC, FRASCO COM 1000 CM3</t>
  </si>
  <si>
    <t>PEDRA DE MAO OU PEDRA RACHAO PARA ARRIMO/FUNDACAO (POSTO PEDREIRA/FORNECEDOR, SEM FRETE)</t>
  </si>
  <si>
    <t>MUDA DE BANANEIRA</t>
  </si>
  <si>
    <t>ARGAMASSA TRAÇO 1:2:8 (EM VOLUME DE CIMENTO, CAL E AREIA MÉDIA ÚMIDA) PARA EMBOÇO/MASSA ÚNICA/ASSENTAMENTO DE ALVENARIA DE VEDAÇÃO, PREPARO
MECÂNICO COM BETONEIRA 400 L.</t>
  </si>
  <si>
    <t xml:space="preserve">ARMAÇÃO VERTICAL DE ALVENARIA ESTRUTURAL; DIÂMETRO DE 10,0 MM. </t>
  </si>
  <si>
    <t>ARMAÇÃO DE CINTA DE ALVENARIA ESTRUTURAL; DIÂMETRO DE 10,0 MM.</t>
  </si>
  <si>
    <t xml:space="preserve">GRAUTEAMENTO VERTICAL EM ALVENARIA ESTRUTURAL. </t>
  </si>
  <si>
    <t>GRAUTEAMENTO DE CINTA SUPERIOR OU DE VERGA EM ALVENARIA ESTRUTURAL.</t>
  </si>
  <si>
    <t>ARMAÇÃO DE LAJE DE UMA ESTRUTURA CONVENCIONAL DE CONCRETO ARMADO EM UMA EDIFICAÇÃO TÉRREA OU SOBRADO UTILIZANDO AÇO CA-60 DE 4,2 MM - MONTAGEM.</t>
  </si>
  <si>
    <t xml:space="preserve">CONCRETO FCK = 20MPA, TRAÇO 1:2,7:3 (EM MASSA SECA DE CIMENTO/ AREIA MÉDIA/ BRITA 1) - PREPARO MECÂNICO COM BETONEIRA 400 L. </t>
  </si>
  <si>
    <t xml:space="preserve">REATERRO MANUAL DE VALAS COM COMPACTAÇÃO MECANIZADA. </t>
  </si>
  <si>
    <t xml:space="preserve">GEOTÊXTIL NÃO TECIDO 100% POLIÉSTER, RESISTÊNCIA A TRAÇÃO DE 14 KN/M (RT - 14), INSTALADO EM DRENO - FORNECIMENTO E INSTALAÇÃO. </t>
  </si>
  <si>
    <t>JUNTA ARGAMASSADA ENTRE TUBO DN 150 MM E O POÇO DE VISITA/ CAIXA DE CONCRETO OU ALVENARIA EM REDES DE ESGOTO.</t>
  </si>
  <si>
    <t>LASTRO COM MATERIAL GRANULAR (AREIA MÉDIA), APLICADO EM PISOS OU LAJES SOBRE SOLO, ESPESSURA DE *10 CM*.</t>
  </si>
  <si>
    <t>TERRA VEGETAL (GRANEL)</t>
  </si>
  <si>
    <t xml:space="preserve">JARDINEIRO COM ENCARGOS COMPLEMENTARES </t>
  </si>
  <si>
    <t>Composição de referencia - SINAPI 98084 / NOVO SICRO 3R 33 94 00 00 00 00 35 11, com adequações</t>
  </si>
  <si>
    <t>Escoramento de valas tipo pontalete - Fornecimento e Instalação</t>
  </si>
  <si>
    <t>PONTALETE ROLIÇO SEM TRATAMENTO, D = 8 A 11 CM, H = 3 M, EM EUCALIPTO OU EQUIVALENTE DA REGIAO - BRUTA (PARA ESCORAMENTO)</t>
  </si>
  <si>
    <t>TABUA *2,5 X 15 CM EM PINUS, MISTA OU EQUIVALENTE DA REGIAO - BRUTA (0,00308M3/M)</t>
  </si>
  <si>
    <t xml:space="preserve">Composição de referencia - ORSE 07302	</t>
  </si>
  <si>
    <t xml:space="preserve">Sumidouro com paredes de tijolo maçico (dobrado), Ø(int) = 3,00m, h=3,00m </t>
  </si>
  <si>
    <t xml:space="preserve">TIJOLO CERAMICO MACICO COMUM *5 X 10 X 20* CM (L X A X C) </t>
  </si>
  <si>
    <t xml:space="preserve">LAJE PRÉ-MOLDADA UNIDIRECIONAL, BIAPOIADA, PARA FORRO, ENCHIMENTO EM CERÂMICA, VIGOTA CONVENCIONAL, ALTURA TOTAL DA LAJE (ENCHIMENTO+CAPA) = (8+3). </t>
  </si>
  <si>
    <t>LASTRO DE BRITA 4</t>
  </si>
  <si>
    <t xml:space="preserve">TAMPA CIRCULAR PARA ESGOTO E DRENAGEM, EM FERRO FUNDIDO, DIÂMETRO INTERNO = 0,6 M. </t>
  </si>
  <si>
    <t>Composição de referencia - ORSE 10979 / 01685</t>
  </si>
  <si>
    <r>
      <t xml:space="preserve">Tubo de PVC esgoto </t>
    </r>
    <r>
      <rPr>
        <sz val="8"/>
        <color theme="1"/>
        <rFont val="Calibri"/>
        <family val="2"/>
      </rPr>
      <t>Ø</t>
    </r>
    <r>
      <rPr>
        <sz val="8"/>
        <color theme="1"/>
        <rFont val="Arial"/>
        <family val="2"/>
      </rPr>
      <t xml:space="preserve">150mm, inclusive conexões, escavação manual, preparo de fundo de vala e reaterro com areia - Fornecimento e Instalação </t>
    </r>
  </si>
  <si>
    <t xml:space="preserve">TE, PVC LEVE, CURTO, 90 GRAUS, 150 MM, PARA ESGOTO </t>
  </si>
  <si>
    <t xml:space="preserve">PREPARO DE FUNDO DE VALA COM LARGURA MENOR QUE 1,5 M, COM CAMADA DE AREIA, LANÇAMENTO MANUAL. </t>
  </si>
  <si>
    <t>Composição de referencia - IOPES - 140904 com adequações</t>
  </si>
  <si>
    <t>Revestimento c/pedras lateríticas - Fornecimento e Instalação</t>
  </si>
  <si>
    <t xml:space="preserve">AREIA MEDIA - POSTO JAZIDA/FORNECEDOR (RETIRADO NA JAZIDA, SEM TRANSPORTE) </t>
  </si>
  <si>
    <t xml:space="preserve">CAL HIDRATADA CH-I PARA ARGAMASSAS </t>
  </si>
  <si>
    <t xml:space="preserve">CIMENTO PORTLAND COMPOSTO CP II-32 KG </t>
  </si>
  <si>
    <t xml:space="preserve">PEDRA DE MÃO CALCÁREA </t>
  </si>
  <si>
    <t>Composição de referencia - SEINFRA C2218</t>
  </si>
  <si>
    <r>
      <t>Banco circular de madeira "Modelo 1" - Fornecimento e Instalação (3 pilares e 2</t>
    </r>
    <r>
      <rPr>
        <sz val="8"/>
        <rFont val="Arial"/>
        <family val="2"/>
      </rPr>
      <t xml:space="preserve"> pranchas</t>
    </r>
    <r>
      <rPr>
        <sz val="8"/>
        <color theme="1"/>
        <rFont val="Arial"/>
        <family val="2"/>
      </rPr>
      <t>)</t>
    </r>
  </si>
  <si>
    <t>MADEIRA MASSARANDUBA SERRADA</t>
  </si>
  <si>
    <t>PARAFUSO EM AÇO INOX, CABEÇA SEXTAVADA 3/8" X 70</t>
  </si>
  <si>
    <t>ESCAVAÇÃO MANUAL PARA BLOCO DE COROAMENTO OU SAPATA (SEM ESCAVAÇÃO PARA COLOCAÇÃO DE FÔRMAS).</t>
  </si>
  <si>
    <t>CONCRETO MAGRO PARA LASTRO, TRAÇO 1:4,5:4,5 (EM MASSA SECA DE CIMENTO/ AREIA MÉDIA/ BRITA 1) - PREPARO MECÂNICO COM BETONEIRA 400 L.</t>
  </si>
  <si>
    <t xml:space="preserve">FABRICAÇÃO DE FÔRMA PARA PILARES E ESTRUTURAS SIMILARES, EM CHAPA DE MADEIRA COMPENSADA RESINADA, E = 17 MM. </t>
  </si>
  <si>
    <t xml:space="preserve">FABRICAÇÃO DE FÔRMA PARA LAJES, EM CHAPA DE MADEIRA COMPENSADA RESINADA, E = 17 MM. </t>
  </si>
  <si>
    <t>ARMAÇÃO DE BLOCO, VIGA BALDRAME OU SAPATA UTILIZANDO AÇO CA-50 DE 10 MM - MONTAGEM.</t>
  </si>
  <si>
    <t>ARMAÇÃO DE PILAR OU VIGA DE UMA ESTRUTURA CONVENCIONAL DE CONCRETO ARMADO EM UM EDIFÍCIO DE MÚLTIPLOS PAVIMENTOS UTILIZANDO AÇO CA-50 DE 10,0 MM - MONTAGEM</t>
  </si>
  <si>
    <t>ARMAÇÃO DE PILAR OU VIGA DE UMA ESTRUTURA CONVENCIONAL DE CONCRETO ARMADO EM UM EDIFÍCIO DE MÚLTIPLOS PAVIMENTOS UTILIZANDO AÇO CA-60 DE 5,0 MM - MONTAGEM.</t>
  </si>
  <si>
    <t>ARMAÇÃO DE LAJE DE UMA ESTRUTURA CONVENCIONAL DE CONCRETO ARMADO EM UM EDIFÍCIO DE MÚLTIPLOS PAVIMENTOS UTILIZANDO AÇO CA-60 DE 5,0 MM - MONTAGEM.</t>
  </si>
  <si>
    <t xml:space="preserve">LIXAMENTO DE MADEIRA PARA APLICAÇÃO DE FUNDO OU PINTURA. </t>
  </si>
  <si>
    <t>PINTURA VERNIZ (INCOLOR) ALQUÍDICO EM MADEIRA, USO INTERNO, 2 DEMÃOS.</t>
  </si>
  <si>
    <t xml:space="preserve">FIXAÇÃO UTILIZANDO PARAFUSO E BUCHA DE NYLON, SOMENTE MÃO DE OBRA. </t>
  </si>
  <si>
    <t xml:space="preserve">REVESTIMENTO C/PEDRAS LATERÍTICAS </t>
  </si>
  <si>
    <t>CARPINTEIRO DE ESQUADRIA COM ENCARGOS COMPLEMENTARES</t>
  </si>
  <si>
    <t>Composição de referencia - IOPES - 140904 / SEINFRA C2218 com adequações</t>
  </si>
  <si>
    <t>Banco circular de madeira "Modelo 2" - Fornecimento e Instalação (4 pilares e 2 pranchas)</t>
  </si>
  <si>
    <t>Banco circular de madeira "Modelo 3" - Fornecimento e Instalação (6 pilares e 3 pranchas)</t>
  </si>
  <si>
    <t>Banco circular de madeira "Modelo 4" - Fornecimento e Instalação (4 pilares e 3 pranchas)</t>
  </si>
  <si>
    <t>Estrutura para nivelamento do deck - Fornecimento e Instalação</t>
  </si>
  <si>
    <t>VERNIZ A BASE RESINA ALQUIDICA COM POLIURETANO PARA MADEIRA, COM FILTRO SOLAR, BRILHANTE, USO INTERNO E EXTERNO</t>
  </si>
  <si>
    <t>RIPA DE ITAÚBA APARELHADA DIM. 2,5X5CM</t>
  </si>
  <si>
    <t xml:space="preserve">AJUDANTE DE CARPINTEIRO COM ENCARGOS COMPLEMENTARES </t>
  </si>
  <si>
    <t>Composição criada</t>
  </si>
  <si>
    <t xml:space="preserve">Construção de caixa coletora de águas pluviais de 1,20x1,20x0,70m em alvenaria de blocos de concreto. </t>
  </si>
  <si>
    <t>BLOCO DE VEDACAO DE CONCRETO 19 X 19 X 39 CM (CLASSE C - NBR 6136)</t>
  </si>
  <si>
    <t>TAMPAO FOFO ARTICULADO, CLASSE B125 CARGA MAX 12,5 T, REDONDO TAMPA 600 MM, UN 660,46
REDE PLUVIAL/ESGOTO</t>
  </si>
  <si>
    <t xml:space="preserve">RETROESCAVADEIRA SOBRE RODAS COM CARREGADEIRA, TRAÇÃO 4X4, POTÊNCIA LÍQ. 88 HP, CAÇAMBA CARREG. CAP. MÍN. 1 M3, CAÇAMBA RETRO CAP. 0,26 M3, PESO OPERACIONAL MÍN. 6.674 KG, PROFUNDIDADE ESCAVAÇÃO MÁX. 4,37 M - CHP DIURNO. </t>
  </si>
  <si>
    <t xml:space="preserve">RETROESCAVADEIRA SOBRE RODAS COM CARREGADEIRA, TRAÇÃO 4X4, POTÊNCIA LÍQ. 88 HP, CAÇAMBA CARREG. CAP. MÍN. 1 M3, CAÇAMBA RETRO CAP. 0,26 M3, PESO OPERACIONAL MÍN. 6.674 KG, PROFUNDIDADE ESCAVAÇÃO MÁX. 4,37 M - CHI DIURNO. </t>
  </si>
  <si>
    <t xml:space="preserve">ARGAMASSA TRAÇO 1:4 (EM VOLUME DE CIMENTO E AREIA GROSSA ÚMIDA) PARA CHAPISCO CONVENCIONAL, PREPARO MECÂNICO COM BETONEIRA 400 L. </t>
  </si>
  <si>
    <t xml:space="preserve">PEÇA RETANGULAR PRÉ-MOLDADA, VOLUME DE CONCRETO ACIMA DE 100 LITROS, TAXA DE AÇO APROXIMADA DE 30KG/M³. </t>
  </si>
  <si>
    <t xml:space="preserve">PREPARO DE FUNDO DE VALA COM LARGURA MAIOR OU IGUAL A 1,5 M E MENOR QUE 2,5 M (ACERTO DO SOLO NATURAL). </t>
  </si>
  <si>
    <t xml:space="preserve">EMBOÇO, PARA RECEBIMENTO DE CERÂMICA, EM ARGAMASSA TRAÇO 1:2:8, PREPARO MANUAL, APLICADO MANUALMENTE EM FACES INTERNAS DE PAREDES, PARA AMBIENTE COM ÁREA MENOR QUE 5M2, ESPESSURA DE 10MM, COM EXECUÇÃO DE TALISCAS. </t>
  </si>
  <si>
    <t>Composição de referencia - SINAPI 99264 com adequações</t>
  </si>
  <si>
    <r>
      <t xml:space="preserve">Construção de caixa receptora de águas pluviais da rede pública, </t>
    </r>
    <r>
      <rPr>
        <sz val="8"/>
        <color theme="1"/>
        <rFont val="Calibri"/>
        <family val="2"/>
      </rPr>
      <t>Ø</t>
    </r>
    <r>
      <rPr>
        <sz val="8"/>
        <color theme="1"/>
        <rFont val="Arial"/>
        <family val="2"/>
      </rPr>
      <t xml:space="preserve">1,20x0,80m em anéis de concreto pré moldado.. </t>
    </r>
  </si>
  <si>
    <t>ANEL PRÉ-MOLDADO CONCRETO D=1200MM, ALT= 100MM</t>
  </si>
  <si>
    <t>ANEL PRÉ-MOLDADO CONCRETO D=1200MM, ALT=1000MM</t>
  </si>
  <si>
    <t xml:space="preserve">5928
</t>
  </si>
  <si>
    <t xml:space="preserve">GUINDAUTO HIDRÁULICO, CAPACIDADE MÁXIMA DE CARGA 6200 KG, MOMENTO MÁXIMO DE CARGA 11,7 TM, ALCANCE MÁXIMO HORIZONTAL 9,70 M, INCLUSIVE CAMINHÃO TOCO PBT 16.000 KG, POTÊNCIA DE 189 CV - CHP DIURNO. </t>
  </si>
  <si>
    <t>PEDRA BRITADA N. 3 (38 A 50 MM) POSTO PEDREIRA/FORNECEDOR, SEM FRETE</t>
  </si>
  <si>
    <t>LAJE PRE-MOLDADA DE TRANSICAO EXCENTRICA EM CONCRETO ARMADO, DN 1200 MM, FURO CIRCULAR DN 600 MM, ESPESSURA 12 CM</t>
  </si>
  <si>
    <t>ANEL EM CONCRETO ARMADO, LISO, PARA POCOS DE VISITA, POCOS DE INSPECAO, FOSSAS SEPTICAS E SUMIDOUROS, SEM FUNDO, DIAMETRO INTERNO DE 1,20 M E ALTURA DE 0,50 M</t>
  </si>
  <si>
    <t>TAMPAO FOFO ARTICULADO, CLASSE B125 CARGA MAX 12,5 T, REDONDO TAMPA 600 MM, REDE PLUVIAL/ESGOTO</t>
  </si>
  <si>
    <t xml:space="preserve">ARGAMASSA TRAÇO 1:3 (EM VOLUME DE CIMENTO E AREIA GROSSA ÚMIDA) PARA CHAPISCO CONVENCIONAL, PREPARO MANUAL. </t>
  </si>
  <si>
    <t>Composição de referencia - ORSE 06373 com adequações</t>
  </si>
  <si>
    <t xml:space="preserve">Construção de caixa de brita para drenagem Ø0,60x0,40m, preenchida com brita nº3. </t>
  </si>
  <si>
    <t>ANEL EM CONCRETO ARMADO, LISO, PARA POCOS DE INSPECAO, SEM FUNDO, DIAMETRO INTERNO DE 0,60 M E ALTURA DE 0,50 M</t>
  </si>
  <si>
    <t xml:space="preserve">PEDRA BRITADA N. 3 (38 A 50 MM) POSTO PEDREIRA/FORNECEDOR, SEM FRETE </t>
  </si>
  <si>
    <t xml:space="preserve">JUNTA ARGAMASSADA ENTRE TUBO DN 150 MM E O POÇO DE VISITA/ CAIXA DE CONCRETO OU ALVENARIA EM REDES DE ESGOTO. </t>
  </si>
  <si>
    <t>Composição de referencia - ORSE 02658 com adequações</t>
  </si>
  <si>
    <t xml:space="preserve">Construção de caixa de brita para drenagem Ø0,80x0,40m, preenchida com brita nº3. </t>
  </si>
  <si>
    <t>ANEL EM CONCRETO ARMADO, LISO, PARA POCOS DE VISITAS, POCOS DE INSPECAO, FOSSAS SEPTICAS E SUMIDOUROS, SEM FUNDO, DIAMETRO INTERNO DE 0,80 M E ALTURA DE 0,50 M</t>
  </si>
  <si>
    <t xml:space="preserve">JUNTA ARGAMASSADA ENTRE TUBO DN 200 MM E O POÇO/ CAIXA DE CONCRETO OU ALVENARIA EM REDES DE ESGOTO. </t>
  </si>
  <si>
    <t xml:space="preserve">Construção de caixa de passagem para drenagem Ø0,80m, com base e tampa em concreto armado. </t>
  </si>
  <si>
    <t>ARMAÇÃO PARA EXECUÇÃO DE RADIER, PISO DE CONCRETO OU LAJE SOBRE SOLO, COM USO DE TELA Q-138 (2,2KG/M2).</t>
  </si>
  <si>
    <t xml:space="preserve">JUNTA ARGAMASSADA ENTRE TUBO DN 250 MM E O POÇO DE VISITA/ CAIXA DE CONCRETO OU ALVENARIA EM REDES DE ESGOTO. </t>
  </si>
  <si>
    <t xml:space="preserve">Construção de caixa de passagem para drenagem Ø1,00m, com base e tampa em concreto armado. </t>
  </si>
  <si>
    <t>ANEL EM CONCRETO ARMADO, LISO, PARA POCOS DE VISITAS, POCOS DE INSPECAO, FOSSAS SEPTICAS E SUMIDOUROS, SEM FUNDO, DIAMETRO INTERNO DE 1,00 M E ALTURA DE 0,50 M</t>
  </si>
  <si>
    <t xml:space="preserve">Canaleta meia cana pré-moldada de concreto Ø40cm, inclusive escavação e brita nº3 - Fornecimento e Instalação. </t>
  </si>
  <si>
    <t>CALHA/CANALETA DE CONCRETO SIMPLES, TIPO MEIA CANA, DIAMETRO DE 40 CM, PARA AGUA PLUVIAL</t>
  </si>
  <si>
    <t>PEDRA BRITADA N. 3 (38 A 50 MM) POSTO PEDREIRA/FORNECEDOR, SEM FRETE M3 CR 79,73</t>
  </si>
  <si>
    <t xml:space="preserve">ESCAVAÇÃO MECANIZADA DE VALA COM PROFUNDIDADE ATÉ 1,5 M (MÉDIA MONTANTE E JUSANTE/UMA COMPOSIÇÃO POR TRECHO), RETROESCAV. (0,26 M3), LARGURA DE 0,8 M A 1,5 M, EM SOLO DE 1A CATEGORIA, LOCAIS COM BAIXO NÍVEL DE INTERFERÊNCIA. </t>
  </si>
  <si>
    <t xml:space="preserve">PREPARO DE FUNDO DE VALA COM LARGURA MENOR QUE 1,5 M (ACERTO DO SOLO NATURAL). </t>
  </si>
  <si>
    <t>ARGAMASSA TRAÇO 1:3 (EM VOLUME DE CIMENTO E AREIA MÉDIA ÚMIDA), PREPARO MANUAL.</t>
  </si>
  <si>
    <t xml:space="preserve">TRANSPORTE COM CAMINHÃO BASCULANTE DE 10 M³, EM VIA URBANA EM REVESTIMENTO PRIMÁRIO (UNIDADE: M3XKM). </t>
  </si>
  <si>
    <t>M3/KM</t>
  </si>
  <si>
    <t xml:space="preserve">Composição de referencia - SINAPI 102991 com adequações / ORSE 02658 / 03.24.02/SUDECAP-CONSTR </t>
  </si>
  <si>
    <t>Canaleta de drenagem em alvenaria de blocos de concreto, largura útil de 60cm, fundo e grelhas em concreto armado – Fornecimento e Instalação.</t>
  </si>
  <si>
    <t>GRELHA PRÉ-MOLDADA EM CONCRETO P/CANALETA DIMENSÕES 0,40 X 0,50 X 0,05M</t>
  </si>
  <si>
    <t xml:space="preserve">ALVENARIA DE VEDAÇÃO DE BLOCOS VAZADOS DE CONCRETO DE 9X19X39 CM (ESPESSURA 9 CM) E ARGAMASSA DE ASSENTAMENTO COM PREPARO MANUAL. </t>
  </si>
  <si>
    <t xml:space="preserve">EMBOÇO, PARA RECEBIMENTO DE CERÂMICA, EM ARGAMASSA TRAÇO 1:2:8, PREPARO MANUAL, APLICADO. MANUALMENTE EM FACES INTERNAS DE PAREDES, PARA AMBIENTE COM ÁREA MENOR QUE 5M2, ESPESSURA DE 10MM, COM EXECUÇÃO DE TALISCAS. </t>
  </si>
  <si>
    <t>Canaleta de drenagem em alvenaria de blocos de concreto, largura útil de 80cm, fundo e grelhas em concreto armado – Fornecimento e Instalação.</t>
  </si>
  <si>
    <r>
      <t xml:space="preserve">Fornecimento e assentamento de tubo corrugado parede dupla PEAD, </t>
    </r>
    <r>
      <rPr>
        <sz val="8"/>
        <color theme="1"/>
        <rFont val="Calibri"/>
        <family val="2"/>
      </rPr>
      <t>Ø</t>
    </r>
    <r>
      <rPr>
        <sz val="8"/>
        <color theme="1"/>
        <rFont val="Arial"/>
        <family val="2"/>
      </rPr>
      <t xml:space="preserve"> 150mm para sistemas drenagem.</t>
    </r>
  </si>
  <si>
    <t>60.090.000002.MAT</t>
  </si>
  <si>
    <t>PINI</t>
  </si>
  <si>
    <t>TUBO CORRUGADO PEAD PARA DRENAGEM Ø 150 MM</t>
  </si>
  <si>
    <t>Composição de referencia - ORSE10996 com adequações</t>
  </si>
  <si>
    <r>
      <t xml:space="preserve">Fornecimento e assentamento de tubo corrugado parede dupla PEAD, </t>
    </r>
    <r>
      <rPr>
        <sz val="8"/>
        <color theme="1"/>
        <rFont val="Calibri"/>
        <family val="2"/>
      </rPr>
      <t>Ø</t>
    </r>
    <r>
      <rPr>
        <sz val="8"/>
        <color theme="1"/>
        <rFont val="Arial"/>
        <family val="2"/>
      </rPr>
      <t xml:space="preserve"> 200mm para sistemas drenagem.</t>
    </r>
  </si>
  <si>
    <t>TUBO CORRUGADO PAREDE DUPLA PEAD, D= 200MM (8"), P/SISTEMAS DRENAGEM, TIGRE-ADS N-12 OU SIMILAR</t>
  </si>
  <si>
    <r>
      <t xml:space="preserve">Fornecimento e assentamento de tubo corrugado parede dupla PEAD, </t>
    </r>
    <r>
      <rPr>
        <sz val="8"/>
        <color theme="1"/>
        <rFont val="Calibri"/>
        <family val="2"/>
      </rPr>
      <t>Ø</t>
    </r>
    <r>
      <rPr>
        <sz val="8"/>
        <color theme="1"/>
        <rFont val="Arial"/>
        <family val="2"/>
      </rPr>
      <t xml:space="preserve"> 250mm para sistemas drenagem.</t>
    </r>
  </si>
  <si>
    <t>TUBO CORRUGADO PAREDE DUPLA PEAD, D= 250MM (10"), P/SISTEMAS DRENAGEM, TIGRE-ADS N-12 OU SIMILAR</t>
  </si>
  <si>
    <t/>
  </si>
  <si>
    <t>Interligação da rede de drenagem da escola com a rede pública.</t>
  </si>
  <si>
    <t>2C 03 12 04 05 19</t>
  </si>
  <si>
    <t>TCPO</t>
  </si>
  <si>
    <t>ANEL DE CONCRETO ARMADO Ø 1200 X 500 MM</t>
  </si>
  <si>
    <t xml:space="preserve">ESCAVAÇÃO MECANIZADA DE VALA COM PROF. ATÉ 1,5 M (MÉDIA MONTANTE E JUSANTE/UMA COMPOSIÇÃO POR TRECHO), ESCAVADEIRA (0,8 M3), LARG. DE 1,5 M A 2,5 M, EM SOLO DE 1A CATEGORIA, EM LOCAIS COM ALTO NÍVEL DE INTERFERÊNCIA. </t>
  </si>
  <si>
    <t xml:space="preserve">DEMOLIÇÃO DE LAJES, DE FORMA MECANIZADA COM MARTELETE, SEM REAPROVEITAMENTO. </t>
  </si>
  <si>
    <t>RECOMPOSIÇÃO DE REVESTIMENTO EM CONCRETO ASFÁLTICO (AQUISIÇÃO EM USINA), PARA O FECHAMENTO DE VALAS - INCLUSO DEMOLIÇÃO DO PAVIMENTO.</t>
  </si>
  <si>
    <t>PEÇA CIRCULAR PRÉ-MOLDADA, VOLUME DE CONCRETO DE 30 A 100 LITROS, TAXA AÇO APROXIMADA DE 30KG/M³.</t>
  </si>
  <si>
    <t>Composição de referencia - SINAPI 99268 com adequações</t>
  </si>
  <si>
    <t>0089</t>
  </si>
  <si>
    <t>0089-A</t>
  </si>
  <si>
    <t>0090</t>
  </si>
  <si>
    <t>0091</t>
  </si>
  <si>
    <t>0092</t>
  </si>
  <si>
    <t>0093</t>
  </si>
  <si>
    <t>0095</t>
  </si>
  <si>
    <t>0096</t>
  </si>
  <si>
    <t>0097</t>
  </si>
  <si>
    <t>0098</t>
  </si>
  <si>
    <t>0099</t>
  </si>
  <si>
    <t>0100</t>
  </si>
  <si>
    <t>0101</t>
  </si>
  <si>
    <t>0102</t>
  </si>
  <si>
    <t>0103</t>
  </si>
  <si>
    <t>0104</t>
  </si>
  <si>
    <t>0105</t>
  </si>
  <si>
    <t>0106</t>
  </si>
  <si>
    <t>0107</t>
  </si>
  <si>
    <t>0108</t>
  </si>
  <si>
    <t>0109</t>
  </si>
  <si>
    <t>0110</t>
  </si>
  <si>
    <t>Fechamentos em chapa metálica  3/16'' (38kg/m²) pintada em fachadas - Fornecimento e Instalação.</t>
  </si>
  <si>
    <t>FECHAMENTOS EM CHAPA METÁLICA  3/16'' (38KG/M²) PINTADA EM FACHADAS - FORNECIMENTO E INSTALAÇÃO.</t>
  </si>
  <si>
    <t xml:space="preserve">DEMOLIÇÃO DE ALVENARIA DE BLOCO FURADO, DE FORMA MANUAL, SEM REAPROVEITAMENTO. </t>
  </si>
  <si>
    <t>PINTURA COM TINTA ALQUÍDICA DE ACABAMENTO (ESMALTE SINTÉTICO FOSCO) PULVERIZADA SOBRE SUPERFÍCIES METÁLICAS (EXCETO PERFIL) EXECUTADO EM OBRA (02 DEMÃOS).</t>
  </si>
  <si>
    <t xml:space="preserve">APLICAÇÃO MANUAL DE PINTURA COM TINTA TEXTURIZADA ACRÍLICA EM PAREDES EXTERNAS DE CASAS, UMA COR. </t>
  </si>
  <si>
    <t>INTERLIGAÇÃO DA REDE DE DRENAGEM DA ESCOLA COM A REDE PÚBLICA.</t>
  </si>
  <si>
    <t xml:space="preserve">FABRICAÇÃO, MONTAGEM E DESMONTAGEM DE FÔRMA PARA BLOCO DE COROAMENTO, EM MADEIRA SERRADA, E=25 MM, 2 UTILIZAÇÕES. </t>
  </si>
  <si>
    <t>Gradil nylofor h=2.03 m inclusive postes, bases de fixação em concreto e acabamento em madeira - Fornecimento e Instalação</t>
  </si>
  <si>
    <t>GRADIL NYLOFOR H=2.03 M INCLUSIVE POSTES, BASES DE FIXAÇÃO EM CONCRETO E ACABAMENTO EM MADEIRA - FORNECIMENTO E INSTALAÇÃO.</t>
  </si>
  <si>
    <t xml:space="preserve">MADEIRA DE LEI SUCUPIRA/AROEIRA </t>
  </si>
  <si>
    <t>0111</t>
  </si>
  <si>
    <t>Portão "PT1" - Fornecimento e Instalação</t>
  </si>
  <si>
    <t>SERRALHEIRO COM ENCARGOS COMPLEMENTARES</t>
  </si>
  <si>
    <t>TUBO INDUSTRIAL, EM AÇO, QUADRADO, DIM 60 X 40 MM, E=3,00MM</t>
  </si>
  <si>
    <t xml:space="preserve">ROLDANA PARA PORTÃO DE FERRO DE CORRER (INFERIOR), D=3", COM CAIXA </t>
  </si>
  <si>
    <t>PÇ</t>
  </si>
  <si>
    <t>GRADIL NYLOFOR 3D, MALHA 20X5CM, Ø 5MM 250X103 CM, PINTURA BRANCA, VERDE E PRETA, BELGO OU SIMILAR</t>
  </si>
  <si>
    <t>PINTURA COM TINTA ALQUÍDICA DE FUNDO (TIPO ZARCÃO) APLICADA A ROLO OU PINCEL SOBRE SUPERFÍCIES METÁLICAS (EXCETO PERFIL) EXECUTADO EM OBRA ( POR DEMÃO)</t>
  </si>
  <si>
    <t>PINTURA COM TINTA ALQUÍDICA DE ACABAMENTO (ESMALTE SINTÉTICO BRILHANTE ) APLICADA A ROLO OU PINCEL SOBRE SUPERFÍCIES METÁLICAS (EXCETO PERFIL ) EXECUTADO EM OBRA (POR DEMÃO).</t>
  </si>
  <si>
    <t xml:space="preserve">SOLDADOR COM ENCARGOS COMPLEMENTARES </t>
  </si>
  <si>
    <t>Composição de referencia - ORSE 13231/13072</t>
  </si>
  <si>
    <t xml:space="preserve">ELETRODO REVESTIDO AWS - E6013, DIAMETRO IGUAL A 2,50 MM </t>
  </si>
  <si>
    <t>0112</t>
  </si>
  <si>
    <t>Portão "PT2" - Fornecimento e Instalação</t>
  </si>
  <si>
    <t>PORTÃO "PT1" - FORNECIMENTO E INSTALAÇÃO.</t>
  </si>
  <si>
    <t>PORTÃO "PT2" - FORNECIMENTO E INSTALAÇÃO.</t>
  </si>
  <si>
    <t xml:space="preserve">TUBO ACO INDUSTRIAL DN 2" (50,8 MM) E=1,50MM, PESO= 1,8237 KG/M </t>
  </si>
  <si>
    <t>FERROLHO COM FECHO CHATO E PORTA CADEADO , EM ACO GALVANIZADO / ZINCADO, DE SOBREPOR, COM COMPRIMENTO DE 6", CHAPA COM ESPESSURA MINIMA DE 1,70 MM E LARGURA /MINIMA DE 5,00 CM (FECHO REFORCADO) (INCLUI PARAFUSOS)</t>
  </si>
  <si>
    <t>0113</t>
  </si>
  <si>
    <t>FORNECIMENTO E PLANTIO DE MUDAS</t>
  </si>
  <si>
    <t>3.6.12</t>
  </si>
  <si>
    <t>ENTREGA DOS SERVIÇOS DE INSTALAÇÕES</t>
  </si>
  <si>
    <t>9.2.4</t>
  </si>
  <si>
    <t>10.1</t>
  </si>
  <si>
    <t>10.2</t>
  </si>
  <si>
    <t>10.3</t>
  </si>
  <si>
    <t>10.4</t>
  </si>
  <si>
    <t>10.5</t>
  </si>
  <si>
    <t>10.6</t>
  </si>
  <si>
    <t>10.7</t>
  </si>
  <si>
    <t>10.8</t>
  </si>
  <si>
    <t>11.1</t>
  </si>
  <si>
    <t>11.2</t>
  </si>
  <si>
    <t>11.3</t>
  </si>
  <si>
    <t>11.4</t>
  </si>
  <si>
    <t>11.5</t>
  </si>
  <si>
    <t>11.6</t>
  </si>
  <si>
    <t>11.7</t>
  </si>
  <si>
    <t>11.8</t>
  </si>
  <si>
    <t>11.9</t>
  </si>
  <si>
    <t>11.10</t>
  </si>
  <si>
    <t>11.11</t>
  </si>
  <si>
    <t>11.12</t>
  </si>
  <si>
    <t>11.13</t>
  </si>
  <si>
    <t>11.14</t>
  </si>
  <si>
    <t>12.1</t>
  </si>
  <si>
    <t>12.2</t>
  </si>
  <si>
    <t>12.3</t>
  </si>
  <si>
    <t>12.4</t>
  </si>
  <si>
    <t>12.5</t>
  </si>
  <si>
    <t>12.6</t>
  </si>
  <si>
    <t>12.7</t>
  </si>
  <si>
    <t>12.8</t>
  </si>
  <si>
    <t>12.9</t>
  </si>
  <si>
    <t>13.1</t>
  </si>
  <si>
    <t>13.2</t>
  </si>
  <si>
    <t>13.1.1</t>
  </si>
  <si>
    <t>13.2.1</t>
  </si>
  <si>
    <t>12.10</t>
  </si>
  <si>
    <t>FORNECIMENTO E INSTALAÇÃO DE VIDRO TEMPERADO, E = 10 MM, ENCAIXADO EM PERFIL U.</t>
  </si>
  <si>
    <t>LIMPEZA GERAL DE OBRAS COM RETIRADA DE RESIDUOS.</t>
  </si>
  <si>
    <t>AR CONDICIONADO SPLIT ON/OFF, CASSETE (TETO), 60.000 BTUS/H, 60 HZ, CLASSIFICACAO ENERGETICA A - SELO PROCEL, GAS HFC, CONTROLE S/ FIO.</t>
  </si>
  <si>
    <t>PORTÃO PIVOTANTE NYLOFOR - FORNECIMENTO E INSTALAÇÃO</t>
  </si>
  <si>
    <t>12.11</t>
  </si>
  <si>
    <t>C4556</t>
  </si>
  <si>
    <t>SEINFRA</t>
  </si>
  <si>
    <t>0114</t>
  </si>
  <si>
    <t>Composição de referencia - ORSE 13030</t>
  </si>
  <si>
    <t>ELETRODO REVESTIDO AWS - E6013, DIAMETRO IGUAL A 2,50 MM</t>
  </si>
  <si>
    <t xml:space="preserve">FABRICAÇÃO, MONTAGEM E DESMONTAGEM DE FÔRMA PARA BLOCO DE COROAMENTO, EM MADEIRA SERRADA, E=25 MM, 4 UTILIZAÇÕES. </t>
  </si>
  <si>
    <t>TUBO ACO GALVANIZADO COM COSTURA, CLASSE LEVE, DN 65 MM ( 2 1/2"), E = 3,35 MM, *6,23* KG/M (NBR 5580)</t>
  </si>
  <si>
    <t>12.12</t>
  </si>
  <si>
    <t>Bicicletário em tubo galvanizado, chumbados no piso, inclusive pintura - Fornecimento e Instalação</t>
  </si>
  <si>
    <t>BICICLETÁRIO EM TUBO GALVANIZADO, CHUMBADOS NO PISO, INCLUSIVE PINTURA - FORNECIMENTO E INSTALAÇÃO</t>
  </si>
  <si>
    <t>CRONOGRAMA FÍSICO/FINANCEIRO</t>
  </si>
  <si>
    <t>SERVIÇOS / DIAS</t>
  </si>
  <si>
    <t>R$</t>
  </si>
  <si>
    <t xml:space="preserve">TOTAL GERAL </t>
  </si>
  <si>
    <t>SUBTOTAL</t>
  </si>
  <si>
    <t>% Acum.</t>
  </si>
  <si>
    <t>R$ Acum.</t>
  </si>
  <si>
    <t>INSTALAÇÕES ELÉTRICAS</t>
  </si>
  <si>
    <t>13.3</t>
  </si>
  <si>
    <t>13.3.1</t>
  </si>
  <si>
    <t>13.3.2</t>
  </si>
  <si>
    <t>13.3.3</t>
  </si>
  <si>
    <t>Composição de referencia - SINAPI 101878 com adequações</t>
  </si>
  <si>
    <t>Quadro geral de distribuição 'QGD" 64 posições - Instalação</t>
  </si>
  <si>
    <t>QUADRO GERAL DE DISTRIBUIÇÃO 'QGD" 64 POSIÇÕES - INSTALAÇÃO</t>
  </si>
  <si>
    <t>QUADRO DE DISTRIBUIÇÃO 'QD" 32 POSIÇÕES - INSTALAÇÃO</t>
  </si>
  <si>
    <t>Quadro de distribuição 'QD" 32 posições - Instalação</t>
  </si>
  <si>
    <t>Quadro de distribuição 'QD" 12 posições - Instalação</t>
  </si>
  <si>
    <t>QUADRO DE DISTRIBUIÇÃO 'QD" 12 POSIÇÕES - INSTALAÇÃO</t>
  </si>
  <si>
    <t>Quadro de distribuição 'QD" 36 posições - Instalação</t>
  </si>
  <si>
    <t>QUADRO DE DISTRIBUIÇÃO 'QD" 36 POSIÇÕES - INSTALAÇÃO</t>
  </si>
  <si>
    <t>Quadro de distribuição 'QD" 48 posições - Instalação</t>
  </si>
  <si>
    <t>QUADRO DE DISTRIBUIÇÃO 'QD" 48 POSIÇÕES - INSTALAÇÃO</t>
  </si>
  <si>
    <t>FORNECIMENTO DE CONJUNTO MOTO VENTILADOR CENTRÍFUGO DE EXAUSTÃO, MODELO ILS-630, Q=9.000M³/H, H=60MMCA OU EQUIVALENTE.</t>
  </si>
  <si>
    <t>Conj.</t>
  </si>
  <si>
    <t>MIUDEZAS (10%)</t>
  </si>
  <si>
    <t>Tela em inox - largura = 250mm e espessura = 1,5mm - Fornecimento e Instalação</t>
  </si>
  <si>
    <t>Execução de escavação manual de valas 30 x 50 cm, inclusive reaterro</t>
  </si>
  <si>
    <t>Suporte fixador colável de 60mm de diâmetro, com parafuso inox Ø1/4" e porca - Fornecimento e Instalação</t>
  </si>
  <si>
    <t>Dreno ar condicionado (Mangueira Corrugada Flexível Ø 1 1/4") - Fornecimento e Instalação</t>
  </si>
  <si>
    <t>FORNECIMENTO DOS QUADROS ELÉTRICOS QD's E QGD COMPLETOS (12 unidades)</t>
  </si>
  <si>
    <t>0115</t>
  </si>
  <si>
    <t>FORNECIMENTO DOS QUADROS ELÉTRICOS QD'S E QGD COMPLETOS (12 UNIDADES)</t>
  </si>
  <si>
    <t>TRANSPORTE</t>
  </si>
  <si>
    <t>Fornecimento dos quadros elétricos QD's e QGD completos (12 unidades), preço posto obra</t>
  </si>
  <si>
    <t>FRETE DO CEP 20.775-050 PARA  CEP 78.175-000</t>
  </si>
  <si>
    <t xml:space="preserve">ENGENHEIRO CIVIL DE OBRA PLENO COM ENCARGOS COMPLEMENTARES </t>
  </si>
  <si>
    <t>FORNECIMENTO E INSTALAÇÃO DE GUARDA CORPO METÁLICO. (DETALHE ELABORADO PELO PSA)</t>
  </si>
  <si>
    <t>1ª MEDIÇÃO AOS 30 DIAS</t>
  </si>
  <si>
    <t>2ª MEDIÇÃO AOS 60 DIAS</t>
  </si>
  <si>
    <t>3ª MEDIÇÃO AOS 90 DIAS</t>
  </si>
  <si>
    <t>4ª MEDIÇÃO AOS 120 DIAS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</si>
</sst>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0"/>
    <numFmt numFmtId="165" formatCode="&quot;R$&quot;\ #,##0.00"/>
    <numFmt numFmtId="166" formatCode="00"/>
  </numFmts>
  <fonts count="39" x14ac:knownFonts="1">
    <font>
      <sz val="11"/>
      <name val="Arial"/>
      <family val="1"/>
    </font>
    <font>
      <b/>
      <sz val="11"/>
      <name val="Arial"/>
      <family val="1"/>
    </font>
    <font>
      <b/>
      <sz val="10"/>
      <color rgb="FF000000"/>
      <name val="Arial"/>
      <family val="1"/>
    </font>
    <font>
      <b/>
      <sz val="10"/>
      <color rgb="FF000000"/>
      <name val="Arial"/>
      <family val="1"/>
    </font>
    <font>
      <sz val="10"/>
      <color rgb="FF000000"/>
      <name val="Arial"/>
      <family val="1"/>
    </font>
    <font>
      <sz val="10"/>
      <color rgb="FF000000"/>
      <name val="Arial"/>
      <family val="1"/>
    </font>
    <font>
      <sz val="10"/>
      <color rgb="FF000000"/>
      <name val="Arial"/>
      <family val="1"/>
    </font>
    <font>
      <sz val="10"/>
      <color rgb="FF000000"/>
      <name val="Arial"/>
      <family val="1"/>
    </font>
    <font>
      <sz val="10"/>
      <name val="Arial"/>
      <family val="1"/>
    </font>
    <font>
      <b/>
      <sz val="10"/>
      <name val="Arial"/>
      <family val="2"/>
    </font>
    <font>
      <b/>
      <sz val="8"/>
      <color theme="1"/>
      <name val="Arial"/>
      <family val="2"/>
    </font>
    <font>
      <sz val="8"/>
      <color theme="1"/>
      <name val="Arial"/>
      <family val="2"/>
    </font>
    <font>
      <sz val="8"/>
      <name val="Arial"/>
      <family val="2"/>
    </font>
    <font>
      <b/>
      <sz val="8"/>
      <name val="Arial"/>
      <family val="2"/>
    </font>
    <font>
      <sz val="8"/>
      <color rgb="FF000000"/>
      <name val="Verdana"/>
      <family val="2"/>
    </font>
    <font>
      <sz val="8"/>
      <name val="Arial"/>
      <family val="1"/>
    </font>
    <font>
      <sz val="11"/>
      <name val="Calibri"/>
      <family val="2"/>
    </font>
    <font>
      <b/>
      <sz val="10"/>
      <color rgb="FF000000"/>
      <name val="Arial"/>
      <family val="2"/>
    </font>
    <font>
      <sz val="8"/>
      <color rgb="FF000000"/>
      <name val="Arial"/>
      <family val="2"/>
    </font>
    <font>
      <sz val="7.5"/>
      <color rgb="FF000000"/>
      <name val="Verdana"/>
      <family val="2"/>
    </font>
    <font>
      <sz val="10"/>
      <color rgb="FF000000"/>
      <name val="Arial"/>
      <family val="2"/>
    </font>
    <font>
      <b/>
      <i/>
      <sz val="10"/>
      <color rgb="FF000000"/>
      <name val="Arial"/>
      <family val="2"/>
    </font>
    <font>
      <sz val="8"/>
      <color theme="1"/>
      <name val="Calibri"/>
      <family val="2"/>
    </font>
    <font>
      <sz val="10"/>
      <name val="Arial"/>
      <family val="2"/>
    </font>
    <font>
      <b/>
      <sz val="10"/>
      <color rgb="FFFF0000"/>
      <name val="Arial"/>
      <family val="1"/>
    </font>
    <font>
      <b/>
      <sz val="12"/>
      <name val="Arial"/>
      <family val="2"/>
    </font>
    <font>
      <sz val="8"/>
      <name val="Calibri"/>
      <family val="2"/>
    </font>
    <font>
      <sz val="11"/>
      <color theme="1"/>
      <name val="Arial"/>
      <family val="2"/>
    </font>
    <font>
      <sz val="11"/>
      <name val="Arial"/>
      <family val="2"/>
    </font>
    <font>
      <b/>
      <sz val="9"/>
      <name val="Arial"/>
      <family val="2"/>
    </font>
    <font>
      <sz val="9"/>
      <name val="Arial"/>
      <family val="2"/>
    </font>
    <font>
      <sz val="11"/>
      <color rgb="FFFF0000"/>
      <name val="Arial"/>
      <family val="1"/>
    </font>
    <font>
      <sz val="10"/>
      <color rgb="FF000000"/>
      <name val="Calibri"/>
      <family val="2"/>
    </font>
    <font>
      <b/>
      <sz val="14"/>
      <name val="Arial"/>
      <family val="2"/>
    </font>
    <font>
      <b/>
      <sz val="28"/>
      <name val="Arial"/>
      <family val="2"/>
    </font>
    <font>
      <b/>
      <sz val="22"/>
      <name val="Arial"/>
      <family val="2"/>
    </font>
    <font>
      <sz val="8"/>
      <color rgb="FFFF0000"/>
      <name val="Arial"/>
      <family val="2"/>
    </font>
    <font>
      <sz val="10"/>
      <color theme="1"/>
      <name val="Arial"/>
      <family val="2"/>
    </font>
    <font>
      <b/>
      <sz val="10"/>
      <color theme="1"/>
      <name val="Arial"/>
      <family val="2"/>
    </font>
  </fonts>
  <fills count="17">
    <fill>
      <patternFill patternType="none"/>
    </fill>
    <fill>
      <patternFill patternType="gray125"/>
    </fill>
    <fill>
      <patternFill patternType="solid">
        <fgColor rgb="FFFFFFFF"/>
      </patternFill>
    </fill>
    <fill>
      <patternFill patternType="solid">
        <fgColor rgb="FFFFFFFF"/>
      </patternFill>
    </fill>
    <fill>
      <patternFill patternType="solid">
        <fgColor rgb="FFFFFFFF"/>
      </patternFill>
    </fill>
    <fill>
      <patternFill patternType="solid">
        <fgColor theme="0"/>
        <bgColor indexed="64"/>
      </patternFill>
    </fill>
    <fill>
      <patternFill patternType="solid">
        <fgColor rgb="FFFFC00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indexed="9"/>
        <bgColor indexed="64"/>
      </patternFill>
    </fill>
    <fill>
      <patternFill patternType="solid">
        <fgColor theme="8" tint="0.59999389629810485"/>
        <bgColor indexed="64"/>
      </patternFill>
    </fill>
    <fill>
      <patternFill patternType="solid">
        <fgColor rgb="FFFFFFFF"/>
        <bgColor indexed="64"/>
      </patternFill>
    </fill>
    <fill>
      <patternFill patternType="solid">
        <fgColor rgb="FFD8ECF6"/>
        <bgColor indexed="64"/>
      </patternFill>
    </fill>
    <fill>
      <patternFill patternType="solid">
        <fgColor rgb="FFFFFFFF"/>
        <bgColor rgb="FFFFFFFF"/>
      </patternFill>
    </fill>
    <fill>
      <patternFill patternType="solid">
        <fgColor theme="0" tint="-0.34998626667073579"/>
        <bgColor rgb="FFBFBFBF"/>
      </patternFill>
    </fill>
    <fill>
      <patternFill patternType="solid">
        <fgColor theme="0" tint="-0.34998626667073579"/>
        <bgColor indexed="64"/>
      </patternFill>
    </fill>
    <fill>
      <patternFill patternType="solid">
        <fgColor theme="0"/>
        <bgColor rgb="FFBFBFBF"/>
      </patternFill>
    </fill>
  </fills>
  <borders count="112">
    <border>
      <left/>
      <right/>
      <top/>
      <bottom/>
      <diagonal/>
    </border>
    <border>
      <left style="thin">
        <color rgb="FFCCCCCC"/>
      </left>
      <right style="thin">
        <color rgb="FFCCCCCC"/>
      </right>
      <top style="thin">
        <color rgb="FFCCCCCC"/>
      </top>
      <bottom style="thin">
        <color rgb="FFCCCCCC"/>
      </bottom>
      <diagonal/>
    </border>
    <border>
      <left style="thin">
        <color indexed="64"/>
      </left>
      <right style="thin">
        <color indexed="64"/>
      </right>
      <top style="thin">
        <color indexed="64"/>
      </top>
      <bottom style="thin">
        <color indexed="64"/>
      </bottom>
      <diagonal/>
    </border>
    <border>
      <left/>
      <right/>
      <top style="medium">
        <color auto="1"/>
      </top>
      <bottom style="medium">
        <color auto="1"/>
      </bottom>
      <diagonal/>
    </border>
    <border>
      <left/>
      <right/>
      <top/>
      <bottom style="medium">
        <color auto="1"/>
      </bottom>
      <diagonal/>
    </border>
    <border>
      <left style="thin">
        <color rgb="FFCCCCCC"/>
      </left>
      <right style="thin">
        <color rgb="FFCCCCCC"/>
      </right>
      <top/>
      <bottom/>
      <diagonal/>
    </border>
    <border>
      <left style="double">
        <color indexed="64"/>
      </left>
      <right/>
      <top style="double">
        <color indexed="64"/>
      </top>
      <bottom/>
      <diagonal/>
    </border>
    <border>
      <left/>
      <right/>
      <top style="double">
        <color indexed="64"/>
      </top>
      <bottom/>
      <diagonal/>
    </border>
    <border>
      <left style="double">
        <color indexed="64"/>
      </left>
      <right/>
      <top/>
      <bottom/>
      <diagonal/>
    </border>
    <border>
      <left style="double">
        <color indexed="64"/>
      </left>
      <right/>
      <top/>
      <bottom style="double">
        <color indexed="64"/>
      </bottom>
      <diagonal/>
    </border>
    <border>
      <left/>
      <right/>
      <top/>
      <bottom style="double">
        <color indexed="64"/>
      </bottom>
      <diagonal/>
    </border>
    <border>
      <left style="medium">
        <color indexed="64"/>
      </left>
      <right style="thin">
        <color rgb="FFCCCCCC"/>
      </right>
      <top style="medium">
        <color indexed="64"/>
      </top>
      <bottom style="thin">
        <color rgb="FFCCCCCC"/>
      </bottom>
      <diagonal/>
    </border>
    <border>
      <left style="thin">
        <color rgb="FFCCCCCC"/>
      </left>
      <right style="thin">
        <color rgb="FFCCCCCC"/>
      </right>
      <top style="medium">
        <color indexed="64"/>
      </top>
      <bottom style="thin">
        <color rgb="FFCCCCCC"/>
      </bottom>
      <diagonal/>
    </border>
    <border>
      <left style="thin">
        <color rgb="FFCCCCCC"/>
      </left>
      <right style="medium">
        <color indexed="64"/>
      </right>
      <top style="medium">
        <color indexed="64"/>
      </top>
      <bottom style="thin">
        <color rgb="FFCCCCCC"/>
      </bottom>
      <diagonal/>
    </border>
    <border>
      <left style="medium">
        <color indexed="64"/>
      </left>
      <right style="thin">
        <color rgb="FFCCCCCC"/>
      </right>
      <top style="thin">
        <color rgb="FFCCCCCC"/>
      </top>
      <bottom style="thin">
        <color rgb="FFCCCCCC"/>
      </bottom>
      <diagonal/>
    </border>
    <border>
      <left/>
      <right style="medium">
        <color indexed="64"/>
      </right>
      <top/>
      <bottom/>
      <diagonal/>
    </border>
    <border>
      <left style="thin">
        <color rgb="FFCCCCCC"/>
      </left>
      <right style="medium">
        <color indexed="64"/>
      </right>
      <top style="thin">
        <color rgb="FFCCCCCC"/>
      </top>
      <bottom style="thin">
        <color rgb="FFCCCCCC"/>
      </bottom>
      <diagonal/>
    </border>
    <border>
      <left style="medium">
        <color indexed="64"/>
      </left>
      <right style="thin">
        <color rgb="FFCCCCCC"/>
      </right>
      <top style="thin">
        <color rgb="FFCCCCCC"/>
      </top>
      <bottom style="medium">
        <color indexed="64"/>
      </bottom>
      <diagonal/>
    </border>
    <border>
      <left style="thin">
        <color rgb="FFCCCCCC"/>
      </left>
      <right style="thin">
        <color rgb="FFCCCCCC"/>
      </right>
      <top style="thin">
        <color rgb="FFCCCCCC"/>
      </top>
      <bottom style="medium">
        <color indexed="64"/>
      </bottom>
      <diagonal/>
    </border>
    <border>
      <left style="thin">
        <color rgb="FFCCCCCC"/>
      </left>
      <right style="medium">
        <color indexed="64"/>
      </right>
      <top style="thin">
        <color rgb="FFCCCCCC"/>
      </top>
      <bottom style="medium">
        <color indexed="64"/>
      </bottom>
      <diagonal/>
    </border>
    <border>
      <left style="medium">
        <color indexed="64"/>
      </left>
      <right/>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rgb="FFCCCCCC"/>
      </left>
      <right style="thin">
        <color rgb="FFCCCCCC"/>
      </right>
      <top/>
      <bottom style="thin">
        <color rgb="FFCCCCCC"/>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right style="thin">
        <color indexed="64"/>
      </right>
      <top style="thin">
        <color indexed="64"/>
      </top>
      <bottom style="medium">
        <color indexed="64"/>
      </bottom>
      <diagonal/>
    </border>
    <border>
      <left style="medium">
        <color indexed="64"/>
      </left>
      <right style="thin">
        <color rgb="FFCCCCCC"/>
      </right>
      <top/>
      <bottom style="thin">
        <color rgb="FFCCCCCC"/>
      </bottom>
      <diagonal/>
    </border>
    <border>
      <left style="thin">
        <color rgb="FFCCCCCC"/>
      </left>
      <right style="medium">
        <color indexed="64"/>
      </right>
      <top/>
      <bottom style="thin">
        <color rgb="FFCCCCCC"/>
      </bottom>
      <diagonal/>
    </border>
    <border>
      <left style="medium">
        <color indexed="64"/>
      </left>
      <right/>
      <top style="thin">
        <color indexed="64"/>
      </top>
      <bottom style="thin">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rgb="FFCCCCCC"/>
      </left>
      <right style="thin">
        <color rgb="FFCCCCCC"/>
      </right>
      <top style="thin">
        <color rgb="FFCCCCCC"/>
      </top>
      <bottom/>
      <diagonal/>
    </border>
    <border>
      <left style="medium">
        <color indexed="64"/>
      </left>
      <right style="thin">
        <color rgb="FFCCCCCC"/>
      </right>
      <top style="thin">
        <color rgb="FFCCCCCC"/>
      </top>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style="thin">
        <color indexed="64"/>
      </left>
      <right/>
      <top style="medium">
        <color indexed="64"/>
      </top>
      <bottom style="thin">
        <color rgb="FF000000"/>
      </bottom>
      <diagonal/>
    </border>
    <border>
      <left style="medium">
        <color rgb="FFFF0000"/>
      </left>
      <right/>
      <top style="medium">
        <color indexed="64"/>
      </top>
      <bottom style="thin">
        <color rgb="FF000000"/>
      </bottom>
      <diagonal/>
    </border>
    <border>
      <left/>
      <right style="medium">
        <color rgb="FFFF0000"/>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style="thin">
        <color indexed="64"/>
      </left>
      <right/>
      <top style="thin">
        <color rgb="FF000000"/>
      </top>
      <bottom style="thin">
        <color rgb="FF000000"/>
      </bottom>
      <diagonal/>
    </border>
    <border>
      <left style="medium">
        <color rgb="FFFF0000"/>
      </left>
      <right style="dashed">
        <color rgb="FF000000"/>
      </right>
      <top style="thin">
        <color rgb="FF000000"/>
      </top>
      <bottom style="thin">
        <color rgb="FF000000"/>
      </bottom>
      <diagonal/>
    </border>
    <border>
      <left/>
      <right style="medium">
        <color rgb="FFFF0000"/>
      </right>
      <top style="thin">
        <color rgb="FF000000"/>
      </top>
      <bottom style="thin">
        <color rgb="FF000000"/>
      </bottom>
      <diagonal/>
    </border>
    <border>
      <left/>
      <right style="dashed">
        <color rgb="FF000000"/>
      </right>
      <top style="thin">
        <color rgb="FF000000"/>
      </top>
      <bottom style="thin">
        <color rgb="FF000000"/>
      </bottom>
      <diagonal/>
    </border>
    <border>
      <left style="medium">
        <color rgb="FFFF0000"/>
      </left>
      <right style="thin">
        <color indexed="64"/>
      </right>
      <top style="thin">
        <color rgb="FF000000"/>
      </top>
      <bottom style="thin">
        <color rgb="FF000000"/>
      </bottom>
      <diagonal/>
    </border>
    <border>
      <left style="medium">
        <color rgb="FFFF0000"/>
      </left>
      <right style="thin">
        <color theme="1"/>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bottom/>
      <diagonal/>
    </border>
    <border>
      <left style="thin">
        <color rgb="FF000000"/>
      </left>
      <right/>
      <top/>
      <bottom/>
      <diagonal/>
    </border>
    <border>
      <left style="medium">
        <color rgb="FFFF0000"/>
      </left>
      <right/>
      <top style="thin">
        <color rgb="FF000000"/>
      </top>
      <bottom style="thin">
        <color rgb="FF000000"/>
      </bottom>
      <diagonal/>
    </border>
    <border>
      <left style="thin">
        <color rgb="FF000000"/>
      </left>
      <right style="medium">
        <color rgb="FFFF0000"/>
      </right>
      <top style="thin">
        <color rgb="FF000000"/>
      </top>
      <bottom style="thin">
        <color rgb="FF000000"/>
      </bottom>
      <diagonal/>
    </border>
    <border>
      <left/>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rgb="FFFF0000"/>
      </left>
      <right style="thin">
        <color rgb="FF000000"/>
      </right>
      <top style="thin">
        <color rgb="FF000000"/>
      </top>
      <bottom style="thin">
        <color rgb="FF000000"/>
      </bottom>
      <diagonal/>
    </border>
    <border>
      <left style="thin">
        <color rgb="FF000000"/>
      </left>
      <right style="thin">
        <color rgb="FF000000"/>
      </right>
      <top style="thin">
        <color rgb="FF000000"/>
      </top>
      <bottom style="double">
        <color indexed="64"/>
      </bottom>
      <diagonal/>
    </border>
    <border>
      <left style="thin">
        <color rgb="FF000000"/>
      </left>
      <right/>
      <top style="thin">
        <color rgb="FF000000"/>
      </top>
      <bottom style="double">
        <color indexed="64"/>
      </bottom>
      <diagonal/>
    </border>
    <border>
      <left style="thin">
        <color indexed="64"/>
      </left>
      <right/>
      <top style="thin">
        <color rgb="FF000000"/>
      </top>
      <bottom style="double">
        <color indexed="64"/>
      </bottom>
      <diagonal/>
    </border>
    <border>
      <left style="medium">
        <color rgb="FFFF0000"/>
      </left>
      <right/>
      <top style="thin">
        <color rgb="FF000000"/>
      </top>
      <bottom style="double">
        <color indexed="64"/>
      </bottom>
      <diagonal/>
    </border>
    <border>
      <left style="thin">
        <color rgb="FF000000"/>
      </left>
      <right style="medium">
        <color rgb="FFFF0000"/>
      </right>
      <top style="thin">
        <color rgb="FF000000"/>
      </top>
      <bottom style="double">
        <color indexed="64"/>
      </bottom>
      <diagonal/>
    </border>
    <border>
      <left style="thin">
        <color rgb="FF000000"/>
      </left>
      <right style="medium">
        <color indexed="64"/>
      </right>
      <top style="thin">
        <color rgb="FF000000"/>
      </top>
      <bottom style="double">
        <color indexed="64"/>
      </bottom>
      <diagonal/>
    </border>
    <border>
      <left style="thin">
        <color indexed="64"/>
      </left>
      <right/>
      <top/>
      <bottom style="thin">
        <color indexed="64"/>
      </bottom>
      <diagonal/>
    </border>
    <border>
      <left style="medium">
        <color rgb="FFFF0000"/>
      </left>
      <right style="thin">
        <color indexed="64"/>
      </right>
      <top/>
      <bottom style="thin">
        <color indexed="64"/>
      </bottom>
      <diagonal/>
    </border>
    <border>
      <left style="thin">
        <color indexed="64"/>
      </left>
      <right style="medium">
        <color rgb="FFFF0000"/>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rgb="FFFF0000"/>
      </left>
      <right/>
      <top style="thin">
        <color indexed="64"/>
      </top>
      <bottom style="thin">
        <color indexed="64"/>
      </bottom>
      <diagonal/>
    </border>
    <border>
      <left/>
      <right style="medium">
        <color rgb="FFFF0000"/>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medium">
        <color rgb="FFFF0000"/>
      </left>
      <right style="thin">
        <color indexed="64"/>
      </right>
      <top style="thin">
        <color indexed="64"/>
      </top>
      <bottom style="thin">
        <color indexed="64"/>
      </bottom>
      <diagonal/>
    </border>
    <border>
      <left style="thin">
        <color indexed="64"/>
      </left>
      <right style="medium">
        <color rgb="FFFF0000"/>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rgb="FFFF0000"/>
      </left>
      <right style="thin">
        <color indexed="64"/>
      </right>
      <top style="thin">
        <color indexed="64"/>
      </top>
      <bottom style="medium">
        <color indexed="64"/>
      </bottom>
      <diagonal/>
    </border>
    <border>
      <left style="thin">
        <color indexed="64"/>
      </left>
      <right style="medium">
        <color rgb="FFFF0000"/>
      </right>
      <top style="thin">
        <color indexed="64"/>
      </top>
      <bottom style="medium">
        <color indexed="64"/>
      </bottom>
      <diagonal/>
    </border>
    <border>
      <left style="medium">
        <color indexed="64"/>
      </left>
      <right style="thin">
        <color rgb="FF000000"/>
      </right>
      <top/>
      <bottom style="double">
        <color indexed="64"/>
      </bottom>
      <diagonal/>
    </border>
    <border>
      <left/>
      <right style="thin">
        <color indexed="64"/>
      </right>
      <top style="thin">
        <color rgb="FF000000"/>
      </top>
      <bottom/>
      <diagonal/>
    </border>
    <border>
      <left/>
      <right style="thin">
        <color indexed="64"/>
      </right>
      <top/>
      <bottom style="thin">
        <color rgb="FF000000"/>
      </bottom>
      <diagonal/>
    </border>
    <border>
      <left/>
      <right style="thin">
        <color theme="1"/>
      </right>
      <top style="thin">
        <color rgb="FF000000"/>
      </top>
      <bottom style="thin">
        <color rgb="FF000000"/>
      </bottom>
      <diagonal/>
    </border>
    <border>
      <left style="medium">
        <color rgb="FFFF0000"/>
      </left>
      <right style="thin">
        <color indexed="64"/>
      </right>
      <top style="double">
        <color indexed="64"/>
      </top>
      <bottom style="thin">
        <color indexed="64"/>
      </bottom>
      <diagonal/>
    </border>
    <border>
      <left style="thin">
        <color indexed="64"/>
      </left>
      <right style="medium">
        <color rgb="FFFF0000"/>
      </right>
      <top style="double">
        <color indexed="64"/>
      </top>
      <bottom style="thin">
        <color indexed="64"/>
      </bottom>
      <diagonal/>
    </border>
    <border>
      <left style="thin">
        <color indexed="64"/>
      </left>
      <right/>
      <top style="thin">
        <color rgb="FF000000"/>
      </top>
      <bottom/>
      <diagonal/>
    </border>
    <border>
      <left style="thin">
        <color indexed="64"/>
      </left>
      <right/>
      <top/>
      <bottom style="thin">
        <color rgb="FF000000"/>
      </bottom>
      <diagonal/>
    </border>
    <border>
      <left style="medium">
        <color rgb="FFFF0000"/>
      </left>
      <right style="thin">
        <color indexed="64"/>
      </right>
      <top style="thin">
        <color indexed="64"/>
      </top>
      <bottom/>
      <diagonal/>
    </border>
    <border>
      <left style="thin">
        <color indexed="64"/>
      </left>
      <right style="medium">
        <color rgb="FFFF0000"/>
      </right>
      <top style="thin">
        <color indexed="64"/>
      </top>
      <bottom/>
      <diagonal/>
    </border>
  </borders>
  <cellStyleXfs count="8">
    <xf numFmtId="0" fontId="0" fillId="0" borderId="0"/>
    <xf numFmtId="0" fontId="16" fillId="0" borderId="0"/>
    <xf numFmtId="0" fontId="23" fillId="0" borderId="0"/>
    <xf numFmtId="0" fontId="27" fillId="0" borderId="0"/>
    <xf numFmtId="0" fontId="20" fillId="0" borderId="0" applyNumberFormat="0" applyBorder="0" applyProtection="0"/>
    <xf numFmtId="0" fontId="23" fillId="0" borderId="0"/>
    <xf numFmtId="0" fontId="20" fillId="0" borderId="0" applyNumberFormat="0" applyBorder="0" applyProtection="0"/>
    <xf numFmtId="0" fontId="20" fillId="0" borderId="0" applyNumberFormat="0" applyBorder="0" applyProtection="0"/>
  </cellStyleXfs>
  <cellXfs count="419">
    <xf numFmtId="0" fontId="0" fillId="0" borderId="0" xfId="0"/>
    <xf numFmtId="4" fontId="11" fillId="0" borderId="0" xfId="0" applyNumberFormat="1" applyFont="1" applyAlignment="1" applyProtection="1">
      <alignment horizontal="center" vertical="center"/>
      <protection hidden="1"/>
    </xf>
    <xf numFmtId="0" fontId="18" fillId="0" borderId="0" xfId="0" applyFont="1" applyAlignment="1">
      <alignment vertical="center"/>
    </xf>
    <xf numFmtId="0" fontId="18" fillId="0" borderId="0" xfId="0" applyFont="1" applyAlignment="1">
      <alignment vertical="center" wrapText="1"/>
    </xf>
    <xf numFmtId="0" fontId="4" fillId="5" borderId="1" xfId="0" applyFont="1" applyFill="1" applyBorder="1" applyAlignment="1">
      <alignment horizontal="left" vertical="top" wrapText="1"/>
    </xf>
    <xf numFmtId="0" fontId="4" fillId="5" borderId="1" xfId="0" applyFont="1" applyFill="1" applyBorder="1" applyAlignment="1">
      <alignment horizontal="center" vertical="top" wrapText="1"/>
    </xf>
    <xf numFmtId="0" fontId="23" fillId="0" borderId="0" xfId="2"/>
    <xf numFmtId="0" fontId="9" fillId="0" borderId="0" xfId="2" applyFont="1" applyAlignment="1">
      <alignment horizontal="center" vertical="center" wrapText="1"/>
    </xf>
    <xf numFmtId="0" fontId="9" fillId="0" borderId="0" xfId="2" applyFont="1" applyAlignment="1">
      <alignment horizontal="center" wrapText="1"/>
    </xf>
    <xf numFmtId="0" fontId="9" fillId="0" borderId="2" xfId="2" applyFont="1" applyBorder="1"/>
    <xf numFmtId="0" fontId="9" fillId="0" borderId="2" xfId="2" applyFont="1" applyBorder="1" applyAlignment="1">
      <alignment horizontal="center"/>
    </xf>
    <xf numFmtId="0" fontId="23" fillId="0" borderId="2" xfId="2" applyBorder="1"/>
    <xf numFmtId="4" fontId="23" fillId="0" borderId="2" xfId="2" applyNumberFormat="1" applyBorder="1"/>
    <xf numFmtId="4" fontId="9" fillId="7" borderId="2" xfId="2" applyNumberFormat="1" applyFont="1" applyFill="1" applyBorder="1"/>
    <xf numFmtId="4" fontId="9" fillId="0" borderId="2" xfId="2" applyNumberFormat="1" applyFont="1" applyBorder="1"/>
    <xf numFmtId="4" fontId="23" fillId="0" borderId="0" xfId="2" applyNumberFormat="1"/>
    <xf numFmtId="4" fontId="9" fillId="0" borderId="0" xfId="2" applyNumberFormat="1" applyFont="1"/>
    <xf numFmtId="0" fontId="9" fillId="7" borderId="0" xfId="2" applyFont="1" applyFill="1" applyAlignment="1">
      <alignment horizontal="center"/>
    </xf>
    <xf numFmtId="0" fontId="23" fillId="7" borderId="0" xfId="2" applyFill="1"/>
    <xf numFmtId="10" fontId="9" fillId="7" borderId="2" xfId="2" applyNumberFormat="1" applyFont="1" applyFill="1" applyBorder="1"/>
    <xf numFmtId="0" fontId="23" fillId="0" borderId="0" xfId="2" applyAlignment="1">
      <alignment vertical="top" wrapText="1"/>
    </xf>
    <xf numFmtId="0" fontId="4" fillId="5" borderId="1" xfId="0" applyFont="1" applyFill="1" applyBorder="1" applyAlignment="1">
      <alignment horizontal="right" vertical="top" wrapText="1"/>
    </xf>
    <xf numFmtId="0" fontId="2" fillId="6" borderId="11" xfId="0" applyFont="1" applyFill="1" applyBorder="1" applyAlignment="1">
      <alignment horizontal="left" vertical="top" wrapText="1"/>
    </xf>
    <xf numFmtId="0" fontId="2" fillId="6" borderId="12" xfId="0" applyFont="1" applyFill="1" applyBorder="1" applyAlignment="1">
      <alignment horizontal="left" vertical="top" wrapText="1"/>
    </xf>
    <xf numFmtId="0" fontId="2" fillId="6" borderId="12" xfId="0" applyFont="1" applyFill="1" applyBorder="1" applyAlignment="1">
      <alignment horizontal="center" vertical="top" wrapText="1"/>
    </xf>
    <xf numFmtId="4" fontId="2" fillId="6" borderId="12" xfId="0" applyNumberFormat="1" applyFont="1" applyFill="1" applyBorder="1" applyAlignment="1">
      <alignment horizontal="right" vertical="top" wrapText="1"/>
    </xf>
    <xf numFmtId="4" fontId="2" fillId="6" borderId="13" xfId="0" applyNumberFormat="1" applyFont="1" applyFill="1" applyBorder="1" applyAlignment="1">
      <alignment horizontal="right" vertical="top" wrapText="1"/>
    </xf>
    <xf numFmtId="0" fontId="2" fillId="6" borderId="14" xfId="0" applyFont="1" applyFill="1" applyBorder="1" applyAlignment="1">
      <alignment horizontal="left" vertical="top" wrapText="1"/>
    </xf>
    <xf numFmtId="0" fontId="2" fillId="6" borderId="1" xfId="0" applyFont="1" applyFill="1" applyBorder="1" applyAlignment="1">
      <alignment horizontal="left" vertical="top" wrapText="1"/>
    </xf>
    <xf numFmtId="0" fontId="2" fillId="6" borderId="1" xfId="0" applyFont="1" applyFill="1" applyBorder="1" applyAlignment="1">
      <alignment horizontal="center" vertical="top" wrapText="1"/>
    </xf>
    <xf numFmtId="4" fontId="2" fillId="6" borderId="1" xfId="0" applyNumberFormat="1" applyFont="1" applyFill="1" applyBorder="1" applyAlignment="1">
      <alignment horizontal="right" vertical="top" wrapText="1"/>
    </xf>
    <xf numFmtId="4" fontId="2" fillId="6" borderId="16" xfId="0" applyNumberFormat="1" applyFont="1" applyFill="1" applyBorder="1" applyAlignment="1">
      <alignment horizontal="right" vertical="top" wrapText="1"/>
    </xf>
    <xf numFmtId="0" fontId="2" fillId="6" borderId="17" xfId="0" applyFont="1" applyFill="1" applyBorder="1" applyAlignment="1">
      <alignment horizontal="left" vertical="top" wrapText="1"/>
    </xf>
    <xf numFmtId="0" fontId="2" fillId="6" borderId="18" xfId="0" applyFont="1" applyFill="1" applyBorder="1" applyAlignment="1">
      <alignment horizontal="left" vertical="top" wrapText="1"/>
    </xf>
    <xf numFmtId="0" fontId="2" fillId="6" borderId="18" xfId="0" applyFont="1" applyFill="1" applyBorder="1" applyAlignment="1">
      <alignment horizontal="center" vertical="top" wrapText="1"/>
    </xf>
    <xf numFmtId="4" fontId="2" fillId="6" borderId="18" xfId="0" applyNumberFormat="1" applyFont="1" applyFill="1" applyBorder="1" applyAlignment="1">
      <alignment horizontal="right" vertical="top" wrapText="1"/>
    </xf>
    <xf numFmtId="4" fontId="2" fillId="6" borderId="19" xfId="0" applyNumberFormat="1" applyFont="1" applyFill="1" applyBorder="1" applyAlignment="1">
      <alignment horizontal="right" vertical="top" wrapText="1"/>
    </xf>
    <xf numFmtId="0" fontId="0" fillId="0" borderId="0" xfId="0"/>
    <xf numFmtId="49" fontId="4" fillId="5" borderId="1" xfId="0" applyNumberFormat="1" applyFont="1" applyFill="1" applyBorder="1" applyAlignment="1">
      <alignment horizontal="left" vertical="top" wrapText="1"/>
    </xf>
    <xf numFmtId="0" fontId="16" fillId="0" borderId="0" xfId="0" applyFont="1" applyAlignment="1">
      <alignment vertical="center"/>
    </xf>
    <xf numFmtId="166" fontId="28" fillId="0" borderId="0" xfId="5" applyNumberFormat="1" applyFont="1"/>
    <xf numFmtId="4" fontId="28" fillId="0" borderId="0" xfId="5" applyNumberFormat="1" applyFont="1"/>
    <xf numFmtId="0" fontId="29" fillId="9" borderId="27" xfId="5" applyFont="1" applyFill="1" applyBorder="1" applyAlignment="1">
      <alignment horizontal="center"/>
    </xf>
    <xf numFmtId="166" fontId="9" fillId="0" borderId="0" xfId="5" applyNumberFormat="1" applyFont="1"/>
    <xf numFmtId="17" fontId="29" fillId="9" borderId="20" xfId="5" applyNumberFormat="1" applyFont="1" applyFill="1" applyBorder="1" applyAlignment="1">
      <alignment horizontal="center"/>
    </xf>
    <xf numFmtId="0" fontId="30" fillId="9" borderId="31" xfId="5" applyFont="1" applyFill="1" applyBorder="1"/>
    <xf numFmtId="166" fontId="23" fillId="0" borderId="0" xfId="5" applyNumberFormat="1"/>
    <xf numFmtId="166" fontId="23" fillId="0" borderId="34" xfId="5" applyNumberFormat="1" applyBorder="1" applyAlignment="1">
      <alignment horizontal="center" vertical="top"/>
    </xf>
    <xf numFmtId="166" fontId="23" fillId="0" borderId="21" xfId="5" applyNumberFormat="1" applyBorder="1" applyAlignment="1">
      <alignment horizontal="justify" vertical="top" wrapText="1"/>
    </xf>
    <xf numFmtId="10" fontId="23" fillId="0" borderId="35" xfId="5" applyNumberFormat="1" applyBorder="1" applyAlignment="1">
      <alignment horizontal="right"/>
    </xf>
    <xf numFmtId="4" fontId="23" fillId="0" borderId="21" xfId="5" applyNumberFormat="1" applyBorder="1" applyAlignment="1">
      <alignment horizontal="right" wrapText="1"/>
    </xf>
    <xf numFmtId="10" fontId="9" fillId="6" borderId="24" xfId="5" applyNumberFormat="1" applyFont="1" applyFill="1" applyBorder="1" applyAlignment="1">
      <alignment horizontal="right"/>
    </xf>
    <xf numFmtId="4" fontId="9" fillId="6" borderId="25" xfId="5" applyNumberFormat="1" applyFont="1" applyFill="1" applyBorder="1" applyAlignment="1">
      <alignment horizontal="right"/>
    </xf>
    <xf numFmtId="0" fontId="1" fillId="2" borderId="40" xfId="0" applyFont="1" applyFill="1" applyBorder="1" applyAlignment="1">
      <alignment horizontal="center" vertical="center" wrapText="1"/>
    </xf>
    <xf numFmtId="0" fontId="1" fillId="4" borderId="41" xfId="0" applyFont="1" applyFill="1" applyBorder="1" applyAlignment="1">
      <alignment horizontal="center" vertical="center" wrapText="1"/>
    </xf>
    <xf numFmtId="0" fontId="1" fillId="2" borderId="41" xfId="0" applyFont="1" applyFill="1" applyBorder="1" applyAlignment="1">
      <alignment horizontal="center" vertical="center" wrapText="1"/>
    </xf>
    <xf numFmtId="0" fontId="1" fillId="3" borderId="41" xfId="0" applyFont="1" applyFill="1" applyBorder="1" applyAlignment="1">
      <alignment horizontal="center" vertical="center" wrapText="1"/>
    </xf>
    <xf numFmtId="4" fontId="1" fillId="4" borderId="41" xfId="0" applyNumberFormat="1" applyFont="1" applyFill="1" applyBorder="1" applyAlignment="1">
      <alignment horizontal="center" vertical="center" wrapText="1"/>
    </xf>
    <xf numFmtId="0" fontId="9" fillId="7" borderId="0" xfId="2" applyFont="1" applyFill="1" applyAlignment="1">
      <alignment horizontal="center"/>
    </xf>
    <xf numFmtId="4" fontId="4" fillId="5" borderId="1" xfId="0" applyNumberFormat="1" applyFont="1" applyFill="1" applyBorder="1" applyAlignment="1">
      <alignment horizontal="right" vertical="top" wrapText="1"/>
    </xf>
    <xf numFmtId="4" fontId="20" fillId="5" borderId="16" xfId="0" applyNumberFormat="1" applyFont="1" applyFill="1" applyBorder="1" applyAlignment="1">
      <alignment horizontal="right" vertical="top" wrapText="1"/>
    </xf>
    <xf numFmtId="0" fontId="4" fillId="0" borderId="14" xfId="0" applyFont="1" applyBorder="1" applyAlignment="1">
      <alignment horizontal="left" vertical="top" wrapText="1"/>
    </xf>
    <xf numFmtId="0" fontId="4" fillId="0" borderId="1" xfId="0" applyFont="1" applyBorder="1" applyAlignment="1">
      <alignment horizontal="right" vertical="top" wrapText="1"/>
    </xf>
    <xf numFmtId="0" fontId="4" fillId="0" borderId="1" xfId="0" applyFont="1" applyBorder="1" applyAlignment="1">
      <alignment horizontal="left" vertical="top" wrapText="1"/>
    </xf>
    <xf numFmtId="0" fontId="4" fillId="0" borderId="1" xfId="0" applyFont="1" applyBorder="1" applyAlignment="1">
      <alignment horizontal="center" vertical="top" wrapText="1"/>
    </xf>
    <xf numFmtId="4" fontId="4" fillId="5" borderId="1" xfId="0" applyNumberFormat="1" applyFont="1" applyFill="1" applyBorder="1" applyAlignment="1">
      <alignment vertical="top" wrapText="1"/>
    </xf>
    <xf numFmtId="0" fontId="2" fillId="0" borderId="14" xfId="0" applyFont="1" applyBorder="1" applyAlignment="1">
      <alignment horizontal="left" vertical="top" wrapText="1"/>
    </xf>
    <xf numFmtId="0" fontId="2" fillId="0" borderId="1" xfId="0" applyFont="1" applyBorder="1" applyAlignment="1">
      <alignment horizontal="left" vertical="top" wrapText="1"/>
    </xf>
    <xf numFmtId="0" fontId="21" fillId="0" borderId="1" xfId="0" applyFont="1" applyBorder="1" applyAlignment="1">
      <alignment horizontal="center" vertical="top" wrapText="1"/>
    </xf>
    <xf numFmtId="0" fontId="0" fillId="0" borderId="0" xfId="0" applyAlignment="1">
      <alignment vertical="center"/>
    </xf>
    <xf numFmtId="4" fontId="8" fillId="0" borderId="15" xfId="0" applyNumberFormat="1" applyFont="1" applyBorder="1" applyAlignment="1">
      <alignment horizontal="right" vertical="top"/>
    </xf>
    <xf numFmtId="4" fontId="4" fillId="0" borderId="1" xfId="0" applyNumberFormat="1" applyFont="1" applyBorder="1" applyAlignment="1">
      <alignment vertical="top" wrapText="1"/>
    </xf>
    <xf numFmtId="4" fontId="2" fillId="6" borderId="12" xfId="0" applyNumberFormat="1" applyFont="1" applyFill="1" applyBorder="1" applyAlignment="1">
      <alignment vertical="top" wrapText="1"/>
    </xf>
    <xf numFmtId="10" fontId="2" fillId="6" borderId="1" xfId="0" applyNumberFormat="1" applyFont="1" applyFill="1" applyBorder="1" applyAlignment="1">
      <alignment vertical="top" wrapText="1"/>
    </xf>
    <xf numFmtId="4" fontId="2" fillId="6" borderId="18" xfId="0" applyNumberFormat="1" applyFont="1" applyFill="1" applyBorder="1" applyAlignment="1">
      <alignment vertical="top" wrapText="1"/>
    </xf>
    <xf numFmtId="0" fontId="11" fillId="0" borderId="0" xfId="0" applyFont="1" applyAlignment="1" applyProtection="1">
      <alignment horizontal="center" vertical="center"/>
      <protection hidden="1"/>
    </xf>
    <xf numFmtId="0" fontId="0" fillId="0" borderId="0" xfId="0" applyAlignment="1">
      <alignment horizontal="center" vertical="center"/>
    </xf>
    <xf numFmtId="164" fontId="11" fillId="0" borderId="0" xfId="0" applyNumberFormat="1" applyFont="1" applyAlignment="1" applyProtection="1">
      <alignment horizontal="center" vertical="center"/>
      <protection hidden="1"/>
    </xf>
    <xf numFmtId="0" fontId="11" fillId="0" borderId="3" xfId="0" applyFont="1" applyBorder="1" applyAlignment="1" applyProtection="1">
      <alignment horizontal="left" vertical="center"/>
      <protection hidden="1"/>
    </xf>
    <xf numFmtId="0" fontId="11" fillId="0" borderId="3" xfId="0" applyFont="1" applyBorder="1" applyAlignment="1" applyProtection="1">
      <alignment horizontal="center" vertical="center"/>
      <protection hidden="1"/>
    </xf>
    <xf numFmtId="4" fontId="11" fillId="0" borderId="3" xfId="0" applyNumberFormat="1" applyFont="1" applyBorder="1" applyAlignment="1" applyProtection="1">
      <alignment horizontal="center" vertical="center"/>
      <protection hidden="1"/>
    </xf>
    <xf numFmtId="4" fontId="12" fillId="5" borderId="3" xfId="0" applyNumberFormat="1" applyFont="1" applyFill="1" applyBorder="1" applyAlignment="1" applyProtection="1">
      <alignment horizontal="center" vertical="center"/>
      <protection hidden="1"/>
    </xf>
    <xf numFmtId="0" fontId="13" fillId="0" borderId="3" xfId="0" applyFont="1" applyBorder="1" applyAlignment="1" applyProtection="1">
      <alignment horizontal="center" vertical="center"/>
      <protection hidden="1"/>
    </xf>
    <xf numFmtId="4" fontId="10" fillId="0" borderId="3" xfId="0" applyNumberFormat="1" applyFont="1" applyBorder="1" applyAlignment="1" applyProtection="1">
      <alignment horizontal="center" vertical="center"/>
      <protection hidden="1"/>
    </xf>
    <xf numFmtId="0" fontId="11" fillId="0" borderId="0" xfId="0" applyFont="1" applyAlignment="1" applyProtection="1">
      <alignment vertical="center" wrapText="1"/>
      <protection hidden="1"/>
    </xf>
    <xf numFmtId="4" fontId="11" fillId="0" borderId="0" xfId="0" applyNumberFormat="1" applyFont="1" applyAlignment="1" applyProtection="1">
      <alignment vertical="center"/>
      <protection hidden="1"/>
    </xf>
    <xf numFmtId="164" fontId="11" fillId="0" borderId="0" xfId="0" applyNumberFormat="1" applyFont="1" applyAlignment="1" applyProtection="1">
      <alignment vertical="center"/>
      <protection hidden="1"/>
    </xf>
    <xf numFmtId="4" fontId="12" fillId="5" borderId="0" xfId="0" applyNumberFormat="1" applyFont="1" applyFill="1" applyAlignment="1" applyProtection="1">
      <alignment vertical="center"/>
      <protection hidden="1"/>
    </xf>
    <xf numFmtId="164" fontId="13" fillId="0" borderId="3" xfId="0" applyNumberFormat="1" applyFont="1" applyBorder="1" applyAlignment="1" applyProtection="1">
      <alignment horizontal="center" vertical="center"/>
      <protection hidden="1"/>
    </xf>
    <xf numFmtId="4" fontId="13" fillId="5" borderId="3" xfId="0" applyNumberFormat="1" applyFont="1" applyFill="1" applyBorder="1" applyAlignment="1" applyProtection="1">
      <alignment horizontal="center" vertical="center"/>
      <protection hidden="1"/>
    </xf>
    <xf numFmtId="0" fontId="11" fillId="0" borderId="0" xfId="0" applyFont="1" applyAlignment="1" applyProtection="1">
      <alignment vertical="center"/>
      <protection hidden="1"/>
    </xf>
    <xf numFmtId="4" fontId="0" fillId="0" borderId="0" xfId="0" applyNumberFormat="1" applyAlignment="1">
      <alignment vertical="center"/>
    </xf>
    <xf numFmtId="0" fontId="4" fillId="0" borderId="14" xfId="0" applyFont="1" applyFill="1" applyBorder="1" applyAlignment="1">
      <alignment horizontal="left" vertical="center" wrapText="1"/>
    </xf>
    <xf numFmtId="0" fontId="6" fillId="0" borderId="1" xfId="0" applyNumberFormat="1" applyFont="1" applyFill="1" applyBorder="1" applyAlignment="1">
      <alignment horizontal="right" vertical="center" wrapText="1"/>
    </xf>
    <xf numFmtId="0" fontId="4"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4" fontId="6" fillId="5" borderId="1" xfId="0" applyNumberFormat="1" applyFont="1" applyFill="1" applyBorder="1" applyAlignment="1">
      <alignment vertical="center" wrapText="1"/>
    </xf>
    <xf numFmtId="4" fontId="7" fillId="5" borderId="1" xfId="0" applyNumberFormat="1" applyFont="1" applyFill="1" applyBorder="1" applyAlignment="1">
      <alignment horizontal="right" vertical="center" wrapText="1"/>
    </xf>
    <xf numFmtId="0" fontId="6" fillId="5" borderId="1" xfId="0" applyFont="1" applyFill="1" applyBorder="1" applyAlignment="1">
      <alignment horizontal="right" vertical="center" wrapText="1"/>
    </xf>
    <xf numFmtId="49" fontId="4" fillId="5" borderId="1" xfId="0" applyNumberFormat="1" applyFont="1" applyFill="1" applyBorder="1" applyAlignment="1">
      <alignment horizontal="left" vertical="center" wrapText="1"/>
    </xf>
    <xf numFmtId="0" fontId="4" fillId="5" borderId="1" xfId="0" applyFont="1" applyFill="1" applyBorder="1" applyAlignment="1">
      <alignment horizontal="left" vertical="center" wrapText="1"/>
    </xf>
    <xf numFmtId="0" fontId="6" fillId="0" borderId="1" xfId="0" applyFont="1" applyFill="1" applyBorder="1" applyAlignment="1">
      <alignment horizontal="right" vertical="center" wrapText="1"/>
    </xf>
    <xf numFmtId="0" fontId="6" fillId="5" borderId="1" xfId="0" applyNumberFormat="1" applyFont="1" applyFill="1" applyBorder="1" applyAlignment="1">
      <alignment horizontal="right" vertical="center" wrapText="1"/>
    </xf>
    <xf numFmtId="0" fontId="4" fillId="5" borderId="1" xfId="0" applyFont="1" applyFill="1" applyBorder="1" applyAlignment="1">
      <alignment horizontal="center" vertical="center" wrapText="1"/>
    </xf>
    <xf numFmtId="0" fontId="0" fillId="5" borderId="0" xfId="0" applyFill="1" applyAlignment="1">
      <alignment vertical="center"/>
    </xf>
    <xf numFmtId="0" fontId="2" fillId="0" borderId="14"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1"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4" fontId="3" fillId="0" borderId="0" xfId="0" applyNumberFormat="1" applyFont="1" applyFill="1" applyBorder="1" applyAlignment="1">
      <alignment vertical="center" wrapText="1"/>
    </xf>
    <xf numFmtId="0" fontId="8" fillId="5" borderId="1" xfId="0" applyNumberFormat="1" applyFont="1" applyFill="1" applyBorder="1" applyAlignment="1">
      <alignment horizontal="right" vertical="center" wrapText="1"/>
    </xf>
    <xf numFmtId="0" fontId="8" fillId="5" borderId="1" xfId="0" applyFont="1" applyFill="1" applyBorder="1" applyAlignment="1">
      <alignment horizontal="left" vertical="center" wrapText="1"/>
    </xf>
    <xf numFmtId="0" fontId="5" fillId="5" borderId="1" xfId="0" applyFont="1" applyFill="1" applyBorder="1" applyAlignment="1">
      <alignment horizontal="center" vertical="center" wrapText="1"/>
    </xf>
    <xf numFmtId="4" fontId="7" fillId="5" borderId="16" xfId="0" applyNumberFormat="1" applyFont="1" applyFill="1" applyBorder="1" applyAlignment="1">
      <alignment horizontal="right" vertical="center" wrapText="1"/>
    </xf>
    <xf numFmtId="0" fontId="20" fillId="5" borderId="1" xfId="0" applyNumberFormat="1" applyFont="1" applyFill="1" applyBorder="1" applyAlignment="1">
      <alignment horizontal="right" vertical="center" wrapText="1"/>
    </xf>
    <xf numFmtId="0" fontId="20" fillId="5" borderId="1" xfId="0" applyFont="1" applyFill="1" applyBorder="1" applyAlignment="1">
      <alignment horizontal="left" vertical="center" wrapText="1"/>
    </xf>
    <xf numFmtId="0" fontId="4" fillId="5" borderId="1" xfId="0" applyNumberFormat="1" applyFont="1" applyFill="1" applyBorder="1" applyAlignment="1">
      <alignment horizontal="right" vertical="center" wrapText="1"/>
    </xf>
    <xf numFmtId="0" fontId="2" fillId="5" borderId="1" xfId="0" applyFont="1" applyFill="1" applyBorder="1" applyAlignment="1">
      <alignment horizontal="left" vertical="center" wrapText="1"/>
    </xf>
    <xf numFmtId="0" fontId="21" fillId="5"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4" fontId="3" fillId="5" borderId="0" xfId="0" applyNumberFormat="1" applyFont="1" applyFill="1" applyBorder="1" applyAlignment="1">
      <alignment vertical="center" wrapText="1"/>
    </xf>
    <xf numFmtId="4" fontId="2" fillId="5" borderId="0" xfId="0" applyNumberFormat="1" applyFont="1" applyFill="1" applyBorder="1" applyAlignment="1">
      <alignment horizontal="right" vertical="center" wrapText="1"/>
    </xf>
    <xf numFmtId="49" fontId="4" fillId="5" borderId="1" xfId="0" applyNumberFormat="1" applyFont="1" applyFill="1" applyBorder="1" applyAlignment="1">
      <alignment horizontal="right" vertical="center" wrapText="1"/>
    </xf>
    <xf numFmtId="4" fontId="7" fillId="5" borderId="0" xfId="0" applyNumberFormat="1" applyFont="1" applyFill="1" applyBorder="1" applyAlignment="1">
      <alignment horizontal="right" vertical="center" wrapText="1"/>
    </xf>
    <xf numFmtId="4" fontId="6" fillId="5" borderId="0" xfId="0" applyNumberFormat="1" applyFont="1" applyFill="1" applyBorder="1" applyAlignment="1">
      <alignment vertical="center" wrapText="1"/>
    </xf>
    <xf numFmtId="0" fontId="4" fillId="5" borderId="1" xfId="0" applyFont="1" applyFill="1" applyBorder="1" applyAlignment="1">
      <alignment horizontal="right" vertical="center" wrapText="1"/>
    </xf>
    <xf numFmtId="4" fontId="4" fillId="5" borderId="5" xfId="0" applyNumberFormat="1" applyFont="1" applyFill="1" applyBorder="1" applyAlignment="1">
      <alignment vertical="center" wrapText="1"/>
    </xf>
    <xf numFmtId="49" fontId="8" fillId="5" borderId="1" xfId="0" applyNumberFormat="1" applyFont="1" applyFill="1" applyBorder="1" applyAlignment="1">
      <alignment horizontal="right" vertical="center" wrapText="1"/>
    </xf>
    <xf numFmtId="49" fontId="8" fillId="5" borderId="1" xfId="0" applyNumberFormat="1" applyFont="1" applyFill="1" applyBorder="1" applyAlignment="1">
      <alignment horizontal="left" vertical="center" wrapText="1"/>
    </xf>
    <xf numFmtId="0" fontId="8" fillId="5" borderId="1" xfId="0" applyFont="1" applyFill="1" applyBorder="1" applyAlignment="1">
      <alignment horizontal="center" vertical="center" wrapText="1"/>
    </xf>
    <xf numFmtId="4" fontId="8" fillId="5" borderId="1" xfId="0" applyNumberFormat="1" applyFont="1" applyFill="1" applyBorder="1" applyAlignment="1">
      <alignment vertical="center" wrapText="1"/>
    </xf>
    <xf numFmtId="4" fontId="8" fillId="5" borderId="1" xfId="0" applyNumberFormat="1" applyFont="1" applyFill="1" applyBorder="1" applyAlignment="1">
      <alignment horizontal="right" vertical="center" wrapText="1"/>
    </xf>
    <xf numFmtId="0" fontId="31" fillId="0" borderId="0" xfId="0" applyFont="1" applyAlignment="1">
      <alignment vertical="center"/>
    </xf>
    <xf numFmtId="4" fontId="8" fillId="5" borderId="0" xfId="0" applyNumberFormat="1" applyFont="1" applyFill="1" applyBorder="1" applyAlignment="1">
      <alignment vertical="center" wrapText="1"/>
    </xf>
    <xf numFmtId="4" fontId="8" fillId="5" borderId="0" xfId="0" applyNumberFormat="1" applyFont="1" applyFill="1" applyBorder="1" applyAlignment="1">
      <alignment horizontal="right" vertical="center" wrapText="1"/>
    </xf>
    <xf numFmtId="0" fontId="4" fillId="5" borderId="5" xfId="0" applyFont="1" applyFill="1" applyBorder="1" applyAlignment="1">
      <alignment horizontal="left" vertical="center" wrapText="1"/>
    </xf>
    <xf numFmtId="0" fontId="4" fillId="5" borderId="5" xfId="0" applyFont="1" applyFill="1" applyBorder="1" applyAlignment="1">
      <alignment horizontal="center" vertical="center" wrapText="1"/>
    </xf>
    <xf numFmtId="0" fontId="4" fillId="5" borderId="1" xfId="0" quotePrefix="1" applyFont="1" applyFill="1" applyBorder="1" applyAlignment="1">
      <alignment horizontal="left" vertical="center" wrapText="1"/>
    </xf>
    <xf numFmtId="4" fontId="24" fillId="5" borderId="0" xfId="0" applyNumberFormat="1" applyFont="1" applyFill="1" applyBorder="1" applyAlignment="1">
      <alignment horizontal="right" vertical="center" wrapText="1"/>
    </xf>
    <xf numFmtId="4" fontId="12" fillId="5" borderId="0" xfId="0" applyNumberFormat="1" applyFont="1" applyFill="1" applyAlignment="1" applyProtection="1">
      <alignment horizontal="right" vertical="center"/>
      <protection hidden="1"/>
    </xf>
    <xf numFmtId="4" fontId="11" fillId="0" borderId="0" xfId="0" applyNumberFormat="1" applyFont="1" applyAlignment="1" applyProtection="1">
      <alignment horizontal="right" vertical="center"/>
      <protection hidden="1"/>
    </xf>
    <xf numFmtId="0" fontId="13" fillId="0" borderId="3" xfId="0" applyFont="1" applyBorder="1" applyAlignment="1" applyProtection="1">
      <alignment vertical="center"/>
      <protection hidden="1"/>
    </xf>
    <xf numFmtId="4" fontId="13" fillId="0" borderId="3" xfId="0" quotePrefix="1" applyNumberFormat="1" applyFont="1" applyBorder="1" applyAlignment="1" applyProtection="1">
      <alignment horizontal="right" vertical="center"/>
      <protection hidden="1"/>
    </xf>
    <xf numFmtId="0" fontId="0" fillId="0" borderId="0" xfId="0" quotePrefix="1" applyAlignment="1">
      <alignment vertical="center"/>
    </xf>
    <xf numFmtId="16" fontId="0" fillId="0" borderId="0" xfId="0" applyNumberFormat="1" applyAlignment="1">
      <alignment vertical="center"/>
    </xf>
    <xf numFmtId="0" fontId="16" fillId="0" borderId="0" xfId="1" applyNumberFormat="1" applyFont="1" applyAlignment="1">
      <alignment vertical="center"/>
    </xf>
    <xf numFmtId="0" fontId="11" fillId="5" borderId="0" xfId="0" applyFont="1" applyFill="1" applyAlignment="1" applyProtection="1">
      <alignment vertical="center"/>
      <protection hidden="1"/>
    </xf>
    <xf numFmtId="164" fontId="11" fillId="0" borderId="0" xfId="0" applyNumberFormat="1" applyFont="1" applyFill="1" applyAlignment="1" applyProtection="1">
      <alignment horizontal="center" vertical="center"/>
      <protection hidden="1"/>
    </xf>
    <xf numFmtId="0" fontId="19" fillId="0" borderId="0" xfId="0" applyFont="1" applyAlignment="1">
      <alignment vertical="center"/>
    </xf>
    <xf numFmtId="164" fontId="13" fillId="0" borderId="3" xfId="0" applyNumberFormat="1" applyFont="1" applyFill="1" applyBorder="1" applyAlignment="1" applyProtection="1">
      <alignment horizontal="center" vertical="center"/>
      <protection hidden="1"/>
    </xf>
    <xf numFmtId="0" fontId="11" fillId="5" borderId="0" xfId="0" applyFont="1" applyFill="1" applyAlignment="1" applyProtection="1">
      <alignment vertical="center" wrapText="1"/>
      <protection hidden="1"/>
    </xf>
    <xf numFmtId="0" fontId="11" fillId="5" borderId="0" xfId="0" applyFont="1" applyFill="1" applyAlignment="1" applyProtection="1">
      <alignment horizontal="center" vertical="center"/>
      <protection hidden="1"/>
    </xf>
    <xf numFmtId="4" fontId="11" fillId="5" borderId="0" xfId="0" applyNumberFormat="1" applyFont="1" applyFill="1" applyAlignment="1" applyProtection="1">
      <alignment horizontal="right" vertical="center"/>
      <protection hidden="1"/>
    </xf>
    <xf numFmtId="164" fontId="11" fillId="5" borderId="0" xfId="0" applyNumberFormat="1" applyFont="1" applyFill="1" applyAlignment="1" applyProtection="1">
      <alignment horizontal="center" vertical="center"/>
      <protection hidden="1"/>
    </xf>
    <xf numFmtId="0" fontId="11" fillId="5" borderId="0" xfId="0" applyNumberFormat="1" applyFont="1" applyFill="1" applyAlignment="1" applyProtection="1">
      <alignment horizontal="center" vertical="center" wrapText="1"/>
      <protection hidden="1"/>
    </xf>
    <xf numFmtId="49" fontId="11" fillId="5" borderId="0" xfId="0" applyNumberFormat="1" applyFont="1" applyFill="1" applyAlignment="1" applyProtection="1">
      <alignment horizontal="center" vertical="center" wrapText="1"/>
      <protection hidden="1"/>
    </xf>
    <xf numFmtId="0" fontId="11" fillId="5" borderId="0" xfId="0" applyNumberFormat="1" applyFont="1" applyFill="1" applyAlignment="1" applyProtection="1">
      <alignment horizontal="center" vertical="center"/>
      <protection hidden="1"/>
    </xf>
    <xf numFmtId="0" fontId="13" fillId="0" borderId="3" xfId="0" applyFont="1" applyBorder="1" applyAlignment="1" applyProtection="1">
      <alignment horizontal="center" vertical="center"/>
      <protection hidden="1"/>
    </xf>
    <xf numFmtId="0" fontId="4" fillId="5" borderId="14" xfId="0" applyFont="1" applyFill="1" applyBorder="1" applyAlignment="1">
      <alignment horizontal="left" vertical="center" wrapText="1"/>
    </xf>
    <xf numFmtId="17" fontId="13" fillId="0" borderId="3" xfId="0" applyNumberFormat="1" applyFont="1" applyBorder="1" applyAlignment="1" applyProtection="1">
      <alignment vertical="center"/>
      <protection hidden="1"/>
    </xf>
    <xf numFmtId="0" fontId="8" fillId="5" borderId="1" xfId="0" applyFont="1" applyFill="1" applyBorder="1" applyAlignment="1">
      <alignment horizontal="right" vertical="center" wrapText="1"/>
    </xf>
    <xf numFmtId="0" fontId="36" fillId="0" borderId="0" xfId="0" applyFont="1" applyAlignment="1" applyProtection="1">
      <alignment horizontal="center" vertical="center" wrapText="1"/>
      <protection hidden="1"/>
    </xf>
    <xf numFmtId="0" fontId="11" fillId="5" borderId="0" xfId="0" applyFont="1" applyFill="1" applyAlignment="1" applyProtection="1">
      <alignment horizontal="center" vertical="center" wrapText="1"/>
      <protection hidden="1"/>
    </xf>
    <xf numFmtId="164" fontId="0" fillId="0" borderId="0" xfId="0" applyNumberFormat="1" applyAlignment="1">
      <alignment vertical="center"/>
    </xf>
    <xf numFmtId="4" fontId="11" fillId="0" borderId="0" xfId="0" applyNumberFormat="1" applyFont="1" applyAlignment="1" applyProtection="1">
      <alignment horizontal="left" vertical="center"/>
      <protection hidden="1"/>
    </xf>
    <xf numFmtId="0" fontId="14" fillId="11" borderId="0" xfId="0" applyFont="1" applyFill="1" applyAlignment="1">
      <alignment vertical="center" wrapText="1"/>
    </xf>
    <xf numFmtId="49" fontId="11" fillId="5" borderId="0" xfId="0" applyNumberFormat="1" applyFont="1" applyFill="1" applyAlignment="1" applyProtection="1">
      <alignment horizontal="center" vertical="center"/>
      <protection hidden="1"/>
    </xf>
    <xf numFmtId="0" fontId="8" fillId="5" borderId="1" xfId="0" applyFont="1" applyFill="1" applyBorder="1" applyAlignment="1">
      <alignment horizontal="left" vertical="center"/>
    </xf>
    <xf numFmtId="0" fontId="1" fillId="5" borderId="41" xfId="0" applyFont="1" applyFill="1" applyBorder="1" applyAlignment="1">
      <alignment horizontal="center" vertical="center" wrapText="1"/>
    </xf>
    <xf numFmtId="0" fontId="2" fillId="5" borderId="1" xfId="0" applyFont="1" applyFill="1" applyBorder="1" applyAlignment="1">
      <alignment horizontal="left" vertical="top" wrapText="1"/>
    </xf>
    <xf numFmtId="4" fontId="0" fillId="5" borderId="0" xfId="0" applyNumberFormat="1" applyFill="1" applyAlignment="1">
      <alignment horizontal="right" vertical="center"/>
    </xf>
    <xf numFmtId="4" fontId="1" fillId="5" borderId="41" xfId="0" applyNumberFormat="1" applyFont="1" applyFill="1" applyBorder="1" applyAlignment="1">
      <alignment horizontal="center" vertical="center" wrapText="1"/>
    </xf>
    <xf numFmtId="0" fontId="2" fillId="12" borderId="1" xfId="0" applyFont="1" applyFill="1" applyBorder="1" applyAlignment="1">
      <alignment horizontal="left" vertical="center" wrapText="1"/>
    </xf>
    <xf numFmtId="0" fontId="2" fillId="12" borderId="37" xfId="0" applyFont="1" applyFill="1" applyBorder="1" applyAlignment="1">
      <alignment horizontal="left" vertical="center" wrapText="1"/>
    </xf>
    <xf numFmtId="0" fontId="2" fillId="12" borderId="26" xfId="0" applyFont="1" applyFill="1" applyBorder="1" applyAlignment="1">
      <alignment horizontal="left" vertical="center" wrapText="1"/>
    </xf>
    <xf numFmtId="0" fontId="2" fillId="12" borderId="26" xfId="0" applyFont="1" applyFill="1" applyBorder="1" applyAlignment="1">
      <alignment horizontal="center" vertical="center" wrapText="1"/>
    </xf>
    <xf numFmtId="4" fontId="3" fillId="12" borderId="26" xfId="0" applyNumberFormat="1" applyFont="1" applyFill="1" applyBorder="1" applyAlignment="1">
      <alignment vertical="center" wrapText="1"/>
    </xf>
    <xf numFmtId="4" fontId="2" fillId="12" borderId="26" xfId="0" applyNumberFormat="1" applyFont="1" applyFill="1" applyBorder="1" applyAlignment="1">
      <alignment horizontal="right" vertical="center" wrapText="1"/>
    </xf>
    <xf numFmtId="0" fontId="2" fillId="12" borderId="14" xfId="0" applyFont="1" applyFill="1" applyBorder="1" applyAlignment="1">
      <alignment horizontal="left" vertical="center" wrapText="1"/>
    </xf>
    <xf numFmtId="0" fontId="2" fillId="12" borderId="1" xfId="0" applyFont="1" applyFill="1" applyBorder="1" applyAlignment="1">
      <alignment horizontal="center" vertical="center" wrapText="1"/>
    </xf>
    <xf numFmtId="4" fontId="3" fillId="12" borderId="1" xfId="0" applyNumberFormat="1" applyFont="1" applyFill="1" applyBorder="1" applyAlignment="1">
      <alignment vertical="center" wrapText="1"/>
    </xf>
    <xf numFmtId="4" fontId="2" fillId="12" borderId="1" xfId="0" applyNumberFormat="1" applyFont="1" applyFill="1" applyBorder="1" applyAlignment="1">
      <alignment horizontal="right" vertical="center" wrapText="1"/>
    </xf>
    <xf numFmtId="0" fontId="2" fillId="12" borderId="1" xfId="0" applyFont="1" applyFill="1" applyBorder="1" applyAlignment="1">
      <alignment horizontal="left" vertical="top" wrapText="1"/>
    </xf>
    <xf numFmtId="0" fontId="2" fillId="12" borderId="1" xfId="0" applyFont="1" applyFill="1" applyBorder="1" applyAlignment="1">
      <alignment horizontal="center" vertical="top" wrapText="1"/>
    </xf>
    <xf numFmtId="4" fontId="2" fillId="12" borderId="1" xfId="0" applyNumberFormat="1" applyFont="1" applyFill="1" applyBorder="1" applyAlignment="1">
      <alignment vertical="top" wrapText="1"/>
    </xf>
    <xf numFmtId="4" fontId="2" fillId="12" borderId="1" xfId="0" applyNumberFormat="1" applyFont="1" applyFill="1" applyBorder="1" applyAlignment="1">
      <alignment horizontal="right" vertical="top" wrapText="1"/>
    </xf>
    <xf numFmtId="0" fontId="34" fillId="5" borderId="47" xfId="0" applyFont="1" applyFill="1" applyBorder="1" applyAlignment="1">
      <alignment vertical="center" textRotation="90" wrapText="1"/>
    </xf>
    <xf numFmtId="4" fontId="4" fillId="5" borderId="48" xfId="0" applyNumberFormat="1" applyFont="1" applyFill="1" applyBorder="1" applyAlignment="1">
      <alignment horizontal="right" vertical="top" wrapText="1"/>
    </xf>
    <xf numFmtId="0" fontId="4" fillId="0" borderId="49" xfId="0" applyFont="1" applyBorder="1" applyAlignment="1">
      <alignment horizontal="left" vertical="top" wrapText="1"/>
    </xf>
    <xf numFmtId="0" fontId="4" fillId="0" borderId="48" xfId="0" applyFont="1" applyBorder="1" applyAlignment="1">
      <alignment horizontal="right" vertical="top" wrapText="1"/>
    </xf>
    <xf numFmtId="0" fontId="4" fillId="0" borderId="48" xfId="0" applyFont="1" applyBorder="1" applyAlignment="1">
      <alignment horizontal="left" vertical="top" wrapText="1"/>
    </xf>
    <xf numFmtId="0" fontId="4" fillId="0" borderId="48" xfId="0" applyFont="1" applyBorder="1" applyAlignment="1">
      <alignment horizontal="center" vertical="top" wrapText="1"/>
    </xf>
    <xf numFmtId="4" fontId="4" fillId="0" borderId="48" xfId="0" applyNumberFormat="1" applyFont="1" applyBorder="1" applyAlignment="1">
      <alignment vertical="top" wrapText="1"/>
    </xf>
    <xf numFmtId="0" fontId="2" fillId="6" borderId="0" xfId="0" applyFont="1" applyFill="1" applyBorder="1" applyAlignment="1">
      <alignment horizontal="left" vertical="top" wrapText="1"/>
    </xf>
    <xf numFmtId="0" fontId="2" fillId="6" borderId="0" xfId="0" applyFont="1" applyFill="1" applyBorder="1" applyAlignment="1">
      <alignment horizontal="center" vertical="top" wrapText="1"/>
    </xf>
    <xf numFmtId="4" fontId="2" fillId="6" borderId="0" xfId="0" applyNumberFormat="1" applyFont="1" applyFill="1" applyBorder="1" applyAlignment="1">
      <alignment vertical="top" wrapText="1"/>
    </xf>
    <xf numFmtId="4" fontId="2" fillId="6" borderId="0" xfId="0" applyNumberFormat="1" applyFont="1" applyFill="1" applyBorder="1" applyAlignment="1">
      <alignment horizontal="right" vertical="top" wrapText="1"/>
    </xf>
    <xf numFmtId="0" fontId="35" fillId="5" borderId="47" xfId="0" applyFont="1" applyFill="1" applyBorder="1" applyAlignment="1">
      <alignment vertical="center" textRotation="90" wrapText="1"/>
    </xf>
    <xf numFmtId="0" fontId="34" fillId="5" borderId="47" xfId="0" quotePrefix="1" applyFont="1" applyFill="1" applyBorder="1" applyAlignment="1">
      <alignment vertical="center" textRotation="90" wrapText="1"/>
    </xf>
    <xf numFmtId="4" fontId="1" fillId="5" borderId="42" xfId="0" applyNumberFormat="1" applyFont="1" applyFill="1" applyBorder="1" applyAlignment="1">
      <alignment horizontal="center" vertical="center" wrapText="1"/>
    </xf>
    <xf numFmtId="4" fontId="2" fillId="12" borderId="38" xfId="0" applyNumberFormat="1" applyFont="1" applyFill="1" applyBorder="1" applyAlignment="1">
      <alignment horizontal="right" vertical="center" wrapText="1"/>
    </xf>
    <xf numFmtId="4" fontId="2" fillId="12" borderId="16" xfId="0" applyNumberFormat="1" applyFont="1" applyFill="1" applyBorder="1" applyAlignment="1">
      <alignment horizontal="right" vertical="center" wrapText="1"/>
    </xf>
    <xf numFmtId="4" fontId="2" fillId="5" borderId="15" xfId="0" applyNumberFormat="1" applyFont="1" applyFill="1" applyBorder="1" applyAlignment="1">
      <alignment horizontal="right" vertical="center" wrapText="1"/>
    </xf>
    <xf numFmtId="0" fontId="2" fillId="5" borderId="14" xfId="0" applyFont="1" applyFill="1" applyBorder="1" applyAlignment="1">
      <alignment horizontal="left" vertical="center" wrapText="1"/>
    </xf>
    <xf numFmtId="0" fontId="2" fillId="12" borderId="14" xfId="0" applyFont="1" applyFill="1" applyBorder="1" applyAlignment="1">
      <alignment horizontal="left" vertical="top" wrapText="1"/>
    </xf>
    <xf numFmtId="4" fontId="2" fillId="12" borderId="16" xfId="0" applyNumberFormat="1" applyFont="1" applyFill="1" applyBorder="1" applyAlignment="1">
      <alignment horizontal="right" vertical="top" wrapText="1"/>
    </xf>
    <xf numFmtId="4" fontId="4" fillId="5" borderId="16" xfId="0" applyNumberFormat="1" applyFont="1" applyFill="1" applyBorder="1" applyAlignment="1">
      <alignment horizontal="right" vertical="top" wrapText="1"/>
    </xf>
    <xf numFmtId="0" fontId="2" fillId="6" borderId="20" xfId="0" applyFont="1" applyFill="1" applyBorder="1" applyAlignment="1">
      <alignment horizontal="left" vertical="top" wrapText="1"/>
    </xf>
    <xf numFmtId="4" fontId="2" fillId="6" borderId="15" xfId="0" applyNumberFormat="1" applyFont="1" applyFill="1" applyBorder="1" applyAlignment="1">
      <alignment horizontal="right" vertical="top" wrapText="1"/>
    </xf>
    <xf numFmtId="0" fontId="2" fillId="6" borderId="31" xfId="0" applyFont="1" applyFill="1" applyBorder="1" applyAlignment="1">
      <alignment horizontal="left" vertical="top" wrapText="1"/>
    </xf>
    <xf numFmtId="0" fontId="2" fillId="6" borderId="4" xfId="0" applyFont="1" applyFill="1" applyBorder="1" applyAlignment="1">
      <alignment horizontal="left" vertical="top" wrapText="1"/>
    </xf>
    <xf numFmtId="0" fontId="2" fillId="6" borderId="4" xfId="0" applyFont="1" applyFill="1" applyBorder="1" applyAlignment="1">
      <alignment horizontal="center" vertical="top" wrapText="1"/>
    </xf>
    <xf numFmtId="4" fontId="2" fillId="6" borderId="4" xfId="0" applyNumberFormat="1" applyFont="1" applyFill="1" applyBorder="1" applyAlignment="1">
      <alignment vertical="top" wrapText="1"/>
    </xf>
    <xf numFmtId="4" fontId="2" fillId="6" borderId="4" xfId="0" applyNumberFormat="1" applyFont="1" applyFill="1" applyBorder="1" applyAlignment="1">
      <alignment horizontal="right" vertical="top" wrapText="1"/>
    </xf>
    <xf numFmtId="4" fontId="2" fillId="6" borderId="32" xfId="0" applyNumberFormat="1" applyFont="1" applyFill="1" applyBorder="1" applyAlignment="1">
      <alignment horizontal="right" vertical="top" wrapText="1"/>
    </xf>
    <xf numFmtId="0" fontId="8" fillId="0" borderId="22" xfId="0" applyFont="1" applyBorder="1" applyAlignment="1">
      <alignment horizontal="center" vertical="center"/>
    </xf>
    <xf numFmtId="0" fontId="8" fillId="0" borderId="44" xfId="0" applyFont="1" applyBorder="1" applyAlignment="1">
      <alignment horizontal="center" vertical="center"/>
    </xf>
    <xf numFmtId="4" fontId="8" fillId="0" borderId="44" xfId="0" applyNumberFormat="1" applyFont="1" applyBorder="1" applyAlignment="1">
      <alignment vertical="center"/>
    </xf>
    <xf numFmtId="4" fontId="8" fillId="5" borderId="44" xfId="0" applyNumberFormat="1" applyFont="1" applyFill="1" applyBorder="1" applyAlignment="1">
      <alignment horizontal="right" vertical="center"/>
    </xf>
    <xf numFmtId="4" fontId="8" fillId="5" borderId="45" xfId="0" applyNumberFormat="1" applyFont="1" applyFill="1" applyBorder="1" applyAlignment="1">
      <alignment horizontal="right" vertical="center"/>
    </xf>
    <xf numFmtId="0" fontId="4" fillId="5" borderId="1" xfId="0" applyNumberFormat="1" applyFont="1" applyFill="1" applyBorder="1" applyAlignment="1">
      <alignment horizontal="right" vertical="top" wrapText="1"/>
    </xf>
    <xf numFmtId="0" fontId="20" fillId="0" borderId="14" xfId="0" applyFont="1" applyFill="1" applyBorder="1" applyAlignment="1">
      <alignment horizontal="left" vertical="center" wrapText="1"/>
    </xf>
    <xf numFmtId="17" fontId="11" fillId="5" borderId="0" xfId="0" applyNumberFormat="1" applyFont="1" applyFill="1" applyAlignment="1" applyProtection="1">
      <alignment horizontal="center" vertical="center"/>
      <protection hidden="1"/>
    </xf>
    <xf numFmtId="49" fontId="11" fillId="5" borderId="0" xfId="0" applyNumberFormat="1" applyFont="1" applyFill="1" applyAlignment="1" applyProtection="1">
      <alignment horizontal="right" vertical="center"/>
      <protection hidden="1"/>
    </xf>
    <xf numFmtId="49" fontId="11" fillId="5" borderId="0" xfId="0" applyNumberFormat="1" applyFont="1" applyFill="1" applyAlignment="1" applyProtection="1">
      <alignment vertical="center"/>
      <protection hidden="1"/>
    </xf>
    <xf numFmtId="0" fontId="11" fillId="5" borderId="0" xfId="0" quotePrefix="1" applyFont="1" applyFill="1" applyAlignment="1" applyProtection="1">
      <alignment horizontal="center" vertical="center" wrapText="1"/>
      <protection hidden="1"/>
    </xf>
    <xf numFmtId="0" fontId="13" fillId="0" borderId="3" xfId="0" applyFont="1" applyBorder="1" applyAlignment="1" applyProtection="1">
      <alignment horizontal="center" vertical="center"/>
      <protection hidden="1"/>
    </xf>
    <xf numFmtId="4" fontId="23" fillId="0" borderId="0" xfId="5" applyNumberFormat="1" applyBorder="1" applyAlignment="1">
      <alignment horizontal="right" wrapText="1"/>
    </xf>
    <xf numFmtId="0" fontId="37" fillId="0" borderId="0" xfId="3" applyFont="1"/>
    <xf numFmtId="0" fontId="20" fillId="0" borderId="53" xfId="4" applyBorder="1" applyAlignment="1">
      <alignment horizontal="center"/>
    </xf>
    <xf numFmtId="0" fontId="20" fillId="0" borderId="54" xfId="4" applyBorder="1"/>
    <xf numFmtId="0" fontId="20" fillId="0" borderId="55" xfId="4" applyBorder="1"/>
    <xf numFmtId="0" fontId="20" fillId="13" borderId="56" xfId="6" applyFill="1" applyBorder="1" applyAlignment="1">
      <alignment vertical="center"/>
    </xf>
    <xf numFmtId="0" fontId="20" fillId="13" borderId="57" xfId="6" applyFill="1" applyBorder="1" applyAlignment="1">
      <alignment horizontal="left" vertical="center"/>
    </xf>
    <xf numFmtId="0" fontId="20" fillId="13" borderId="58" xfId="6" applyFill="1" applyBorder="1" applyAlignment="1">
      <alignment vertical="center"/>
    </xf>
    <xf numFmtId="0" fontId="20" fillId="13" borderId="59" xfId="6" applyFill="1" applyBorder="1" applyAlignment="1">
      <alignment vertical="center"/>
    </xf>
    <xf numFmtId="0" fontId="20" fillId="13" borderId="57" xfId="6" applyFill="1" applyBorder="1" applyAlignment="1">
      <alignment vertical="center"/>
    </xf>
    <xf numFmtId="0" fontId="20" fillId="13" borderId="60" xfId="6" applyFill="1" applyBorder="1" applyAlignment="1">
      <alignment vertical="center"/>
    </xf>
    <xf numFmtId="4" fontId="17" fillId="14" borderId="65" xfId="4" applyNumberFormat="1" applyFont="1" applyFill="1" applyBorder="1" applyAlignment="1">
      <alignment horizontal="right" vertical="center" wrapText="1"/>
    </xf>
    <xf numFmtId="4" fontId="20" fillId="15" borderId="66" xfId="4" applyNumberFormat="1" applyFill="1" applyBorder="1" applyAlignment="1">
      <alignment horizontal="center" vertical="center"/>
    </xf>
    <xf numFmtId="4" fontId="20" fillId="5" borderId="67" xfId="4" applyNumberFormat="1" applyFill="1" applyBorder="1" applyAlignment="1">
      <alignment horizontal="center" vertical="center"/>
    </xf>
    <xf numFmtId="4" fontId="20" fillId="5" borderId="66" xfId="4" applyNumberFormat="1" applyFill="1" applyBorder="1" applyAlignment="1">
      <alignment horizontal="center" vertical="center"/>
    </xf>
    <xf numFmtId="4" fontId="20" fillId="5" borderId="68" xfId="4" applyNumberFormat="1" applyFill="1" applyBorder="1" applyAlignment="1">
      <alignment horizontal="center" vertical="center"/>
    </xf>
    <xf numFmtId="4" fontId="20" fillId="5" borderId="69" xfId="4" applyNumberFormat="1" applyFill="1" applyBorder="1" applyAlignment="1">
      <alignment horizontal="center" vertical="center"/>
    </xf>
    <xf numFmtId="4" fontId="20" fillId="5" borderId="70" xfId="4" applyNumberFormat="1" applyFill="1" applyBorder="1" applyAlignment="1">
      <alignment horizontal="center" vertical="center"/>
    </xf>
    <xf numFmtId="0" fontId="20" fillId="5" borderId="64" xfId="4" applyFill="1" applyBorder="1" applyAlignment="1">
      <alignment horizontal="center" vertical="center"/>
    </xf>
    <xf numFmtId="10" fontId="20" fillId="5" borderId="65" xfId="4" applyNumberFormat="1" applyFill="1" applyBorder="1" applyAlignment="1">
      <alignment horizontal="center" vertical="center"/>
    </xf>
    <xf numFmtId="10" fontId="20" fillId="5" borderId="66" xfId="4" applyNumberFormat="1" applyFill="1" applyBorder="1" applyAlignment="1">
      <alignment horizontal="center" vertical="center"/>
    </xf>
    <xf numFmtId="10" fontId="20" fillId="5" borderId="67" xfId="4" applyNumberFormat="1" applyFill="1" applyBorder="1" applyAlignment="1">
      <alignment horizontal="center" vertical="center"/>
    </xf>
    <xf numFmtId="10" fontId="20" fillId="0" borderId="66" xfId="4" applyNumberFormat="1" applyBorder="1" applyAlignment="1">
      <alignment horizontal="center" vertical="center"/>
    </xf>
    <xf numFmtId="10" fontId="20" fillId="0" borderId="69" xfId="4" applyNumberFormat="1" applyBorder="1" applyAlignment="1">
      <alignment horizontal="center" vertical="center"/>
    </xf>
    <xf numFmtId="10" fontId="20" fillId="5" borderId="70" xfId="4" applyNumberFormat="1" applyFill="1" applyBorder="1" applyAlignment="1">
      <alignment horizontal="center" vertical="center"/>
    </xf>
    <xf numFmtId="4" fontId="20" fillId="5" borderId="73" xfId="4" applyNumberFormat="1" applyFill="1" applyBorder="1" applyAlignment="1">
      <alignment horizontal="right" vertical="center"/>
    </xf>
    <xf numFmtId="4" fontId="20" fillId="5" borderId="74" xfId="4" applyNumberFormat="1" applyFill="1" applyBorder="1" applyAlignment="1">
      <alignment horizontal="right" vertical="center"/>
    </xf>
    <xf numFmtId="4" fontId="20" fillId="5" borderId="75" xfId="4" applyNumberFormat="1" applyFill="1" applyBorder="1" applyAlignment="1">
      <alignment horizontal="right" vertical="center"/>
    </xf>
    <xf numFmtId="4" fontId="20" fillId="5" borderId="76" xfId="4" applyNumberFormat="1" applyFill="1" applyBorder="1" applyAlignment="1">
      <alignment horizontal="right" vertical="center"/>
    </xf>
    <xf numFmtId="4" fontId="17" fillId="16" borderId="65" xfId="4" applyNumberFormat="1" applyFont="1" applyFill="1" applyBorder="1" applyAlignment="1">
      <alignment horizontal="right" vertical="center" wrapText="1"/>
    </xf>
    <xf numFmtId="4" fontId="20" fillId="15" borderId="67" xfId="4" applyNumberFormat="1" applyFill="1" applyBorder="1" applyAlignment="1">
      <alignment horizontal="center" vertical="center"/>
    </xf>
    <xf numFmtId="4" fontId="20" fillId="15" borderId="68" xfId="4" applyNumberFormat="1" applyFill="1" applyBorder="1" applyAlignment="1">
      <alignment horizontal="center" vertical="center"/>
    </xf>
    <xf numFmtId="4" fontId="20" fillId="15" borderId="69" xfId="4" applyNumberFormat="1" applyFill="1" applyBorder="1" applyAlignment="1">
      <alignment horizontal="center" vertical="center"/>
    </xf>
    <xf numFmtId="4" fontId="20" fillId="15" borderId="70" xfId="4" applyNumberFormat="1" applyFill="1" applyBorder="1" applyAlignment="1">
      <alignment horizontal="center" vertical="center"/>
    </xf>
    <xf numFmtId="10" fontId="20" fillId="5" borderId="74" xfId="4" applyNumberFormat="1" applyFill="1" applyBorder="1" applyAlignment="1">
      <alignment horizontal="center" vertical="center"/>
    </xf>
    <xf numFmtId="10" fontId="20" fillId="5" borderId="68" xfId="4" applyNumberFormat="1" applyFill="1" applyBorder="1" applyAlignment="1">
      <alignment horizontal="center" vertical="center"/>
    </xf>
    <xf numFmtId="4" fontId="20" fillId="5" borderId="65" xfId="4" applyNumberFormat="1" applyFill="1" applyBorder="1" applyAlignment="1">
      <alignment horizontal="right" vertical="center"/>
    </xf>
    <xf numFmtId="4" fontId="20" fillId="5" borderId="67" xfId="4" applyNumberFormat="1" applyFill="1" applyBorder="1" applyAlignment="1">
      <alignment horizontal="right" vertical="center"/>
    </xf>
    <xf numFmtId="4" fontId="20" fillId="0" borderId="66" xfId="4" applyNumberFormat="1" applyBorder="1" applyAlignment="1">
      <alignment horizontal="center" vertical="center"/>
    </xf>
    <xf numFmtId="4" fontId="20" fillId="5" borderId="65" xfId="4" applyNumberFormat="1" applyFill="1" applyBorder="1" applyAlignment="1">
      <alignment horizontal="center" vertical="center"/>
    </xf>
    <xf numFmtId="4" fontId="20" fillId="5" borderId="74" xfId="4" applyNumberFormat="1" applyFill="1" applyBorder="1" applyAlignment="1">
      <alignment horizontal="center" vertical="center"/>
    </xf>
    <xf numFmtId="0" fontId="20" fillId="5" borderId="65" xfId="4" applyFill="1" applyBorder="1" applyAlignment="1">
      <alignment horizontal="center" vertical="center"/>
    </xf>
    <xf numFmtId="10" fontId="20" fillId="5" borderId="69" xfId="4" applyNumberFormat="1" applyFill="1" applyBorder="1" applyAlignment="1">
      <alignment horizontal="center" vertical="center"/>
    </xf>
    <xf numFmtId="4" fontId="20" fillId="0" borderId="67" xfId="4" applyNumberFormat="1" applyBorder="1" applyAlignment="1">
      <alignment horizontal="center" vertical="center"/>
    </xf>
    <xf numFmtId="0" fontId="20" fillId="5" borderId="83" xfId="4" applyFill="1" applyBorder="1" applyAlignment="1">
      <alignment horizontal="center" vertical="center"/>
    </xf>
    <xf numFmtId="4" fontId="20" fillId="5" borderId="84" xfId="4" applyNumberFormat="1" applyFill="1" applyBorder="1" applyAlignment="1">
      <alignment horizontal="right" vertical="center"/>
    </xf>
    <xf numFmtId="4" fontId="20" fillId="5" borderId="85" xfId="4" applyNumberFormat="1" applyFill="1" applyBorder="1" applyAlignment="1">
      <alignment horizontal="right" vertical="center"/>
    </xf>
    <xf numFmtId="4" fontId="20" fillId="5" borderId="86" xfId="4" applyNumberFormat="1" applyFill="1" applyBorder="1" applyAlignment="1">
      <alignment horizontal="right" vertical="center"/>
    </xf>
    <xf numFmtId="0" fontId="20" fillId="0" borderId="47" xfId="4" applyBorder="1" applyAlignment="1">
      <alignment horizontal="center" vertical="center"/>
    </xf>
    <xf numFmtId="0" fontId="20" fillId="0" borderId="46" xfId="4" applyBorder="1" applyAlignment="1">
      <alignment horizontal="center" vertical="center"/>
    </xf>
    <xf numFmtId="0" fontId="20" fillId="0" borderId="99" xfId="4" applyBorder="1" applyAlignment="1">
      <alignment horizontal="center" vertical="center"/>
    </xf>
    <xf numFmtId="4" fontId="37" fillId="0" borderId="0" xfId="3" applyNumberFormat="1" applyFont="1"/>
    <xf numFmtId="4" fontId="20" fillId="5" borderId="105" xfId="4" applyNumberFormat="1" applyFill="1" applyBorder="1" applyAlignment="1">
      <alignment horizontal="center" vertical="center"/>
    </xf>
    <xf numFmtId="10" fontId="20" fillId="0" borderId="105" xfId="4" applyNumberFormat="1" applyBorder="1" applyAlignment="1">
      <alignment horizontal="center" vertical="center"/>
    </xf>
    <xf numFmtId="4" fontId="20" fillId="15" borderId="105" xfId="4" applyNumberFormat="1" applyFill="1" applyBorder="1" applyAlignment="1">
      <alignment horizontal="center" vertical="center"/>
    </xf>
    <xf numFmtId="10" fontId="20" fillId="5" borderId="105" xfId="4" applyNumberFormat="1" applyFill="1" applyBorder="1" applyAlignment="1">
      <alignment horizontal="center" vertical="center"/>
    </xf>
    <xf numFmtId="10" fontId="37" fillId="0" borderId="0" xfId="3" applyNumberFormat="1" applyFont="1"/>
    <xf numFmtId="0" fontId="20" fillId="5" borderId="108" xfId="4" applyFill="1" applyBorder="1" applyAlignment="1">
      <alignment horizontal="center" vertical="center"/>
    </xf>
    <xf numFmtId="0" fontId="20" fillId="5" borderId="109" xfId="4" applyFill="1" applyBorder="1" applyAlignment="1">
      <alignment horizontal="center" vertical="center"/>
    </xf>
    <xf numFmtId="4" fontId="12" fillId="5" borderId="64" xfId="4" quotePrefix="1" applyNumberFormat="1" applyFont="1" applyFill="1" applyBorder="1" applyAlignment="1">
      <alignment horizontal="right" vertical="center" wrapText="1"/>
    </xf>
    <xf numFmtId="10" fontId="20" fillId="5" borderId="66" xfId="4" quotePrefix="1" applyNumberFormat="1" applyFill="1" applyBorder="1" applyAlignment="1">
      <alignment horizontal="center" vertical="center"/>
    </xf>
    <xf numFmtId="4" fontId="20" fillId="5" borderId="80" xfId="4" applyNumberFormat="1" applyFill="1" applyBorder="1" applyAlignment="1">
      <alignment horizontal="center" vertical="center"/>
    </xf>
    <xf numFmtId="0" fontId="13" fillId="0" borderId="3" xfId="0" applyFont="1" applyBorder="1" applyAlignment="1" applyProtection="1">
      <alignment horizontal="center" vertical="center"/>
      <protection hidden="1"/>
    </xf>
    <xf numFmtId="165" fontId="37" fillId="0" borderId="0" xfId="3" applyNumberFormat="1" applyFont="1"/>
    <xf numFmtId="4" fontId="10" fillId="0" borderId="29" xfId="0" applyNumberFormat="1" applyFont="1" applyBorder="1" applyAlignment="1" applyProtection="1">
      <alignment horizontal="center" vertical="center"/>
      <protection hidden="1"/>
    </xf>
    <xf numFmtId="4" fontId="11" fillId="0" borderId="4" xfId="0" applyNumberFormat="1" applyFont="1" applyBorder="1" applyAlignment="1" applyProtection="1">
      <alignment horizontal="center" vertical="center"/>
      <protection hidden="1"/>
    </xf>
    <xf numFmtId="4" fontId="11" fillId="0" borderId="29" xfId="0" applyNumberFormat="1" applyFont="1" applyBorder="1" applyAlignment="1" applyProtection="1">
      <alignment horizontal="center" vertical="center"/>
      <protection hidden="1"/>
    </xf>
    <xf numFmtId="4" fontId="10" fillId="0" borderId="0" xfId="0" applyNumberFormat="1" applyFont="1" applyBorder="1" applyAlignment="1" applyProtection="1">
      <alignment horizontal="center" vertical="center"/>
      <protection hidden="1"/>
    </xf>
    <xf numFmtId="4" fontId="11" fillId="0" borderId="0" xfId="0" applyNumberFormat="1" applyFont="1" applyBorder="1" applyAlignment="1" applyProtection="1">
      <alignment horizontal="center" vertical="center"/>
      <protection hidden="1"/>
    </xf>
    <xf numFmtId="4" fontId="10" fillId="0" borderId="29" xfId="0" applyNumberFormat="1" applyFont="1" applyBorder="1" applyAlignment="1" applyProtection="1">
      <alignment horizontal="right" vertical="center"/>
      <protection hidden="1"/>
    </xf>
    <xf numFmtId="0" fontId="12" fillId="0" borderId="3" xfId="0" applyFont="1" applyBorder="1" applyAlignment="1" applyProtection="1">
      <alignment horizontal="center" vertical="center"/>
      <protection hidden="1"/>
    </xf>
    <xf numFmtId="4" fontId="11" fillId="0" borderId="0" xfId="0" applyNumberFormat="1" applyFont="1" applyBorder="1" applyAlignment="1" applyProtection="1">
      <alignment horizontal="right" vertical="center"/>
      <protection hidden="1"/>
    </xf>
    <xf numFmtId="4" fontId="12" fillId="5" borderId="0" xfId="0" applyNumberFormat="1" applyFont="1" applyFill="1" applyAlignment="1" applyProtection="1">
      <alignment horizontal="right" vertical="center" wrapText="1"/>
      <protection hidden="1"/>
    </xf>
    <xf numFmtId="4" fontId="4" fillId="5" borderId="1" xfId="0" applyNumberFormat="1" applyFont="1" applyFill="1" applyBorder="1" applyAlignment="1">
      <alignment horizontal="right" vertical="center" wrapText="1"/>
    </xf>
    <xf numFmtId="17" fontId="8" fillId="0" borderId="50" xfId="0" applyNumberFormat="1" applyFont="1" applyBorder="1" applyAlignment="1">
      <alignment horizontal="center" vertical="center"/>
    </xf>
    <xf numFmtId="166" fontId="9" fillId="6" borderId="43" xfId="5" applyNumberFormat="1" applyFont="1" applyFill="1" applyBorder="1" applyAlignment="1">
      <alignment horizontal="center" vertical="top" wrapText="1"/>
    </xf>
    <xf numFmtId="166" fontId="9" fillId="6" borderId="36" xfId="5" applyNumberFormat="1" applyFont="1" applyFill="1" applyBorder="1" applyAlignment="1">
      <alignment horizontal="center" vertical="top" wrapText="1"/>
    </xf>
    <xf numFmtId="4" fontId="29" fillId="9" borderId="28" xfId="5" applyNumberFormat="1" applyFont="1" applyFill="1" applyBorder="1" applyAlignment="1">
      <alignment horizontal="center" vertical="center" wrapText="1"/>
    </xf>
    <xf numFmtId="4" fontId="29" fillId="9" borderId="29" xfId="5" applyNumberFormat="1" applyFont="1" applyFill="1" applyBorder="1" applyAlignment="1">
      <alignment horizontal="center" vertical="center" wrapText="1"/>
    </xf>
    <xf numFmtId="4" fontId="29" fillId="9" borderId="30" xfId="5" applyNumberFormat="1" applyFont="1" applyFill="1" applyBorder="1" applyAlignment="1">
      <alignment horizontal="center" vertical="center" wrapText="1"/>
    </xf>
    <xf numFmtId="4" fontId="29" fillId="9" borderId="20" xfId="5" applyNumberFormat="1" applyFont="1" applyFill="1" applyBorder="1" applyAlignment="1">
      <alignment horizontal="center" vertical="center" wrapText="1"/>
    </xf>
    <xf numFmtId="4" fontId="29" fillId="9" borderId="0" xfId="5" applyNumberFormat="1" applyFont="1" applyFill="1" applyAlignment="1">
      <alignment horizontal="center" vertical="center" wrapText="1"/>
    </xf>
    <xf numFmtId="4" fontId="29" fillId="9" borderId="15" xfId="5" applyNumberFormat="1" applyFont="1" applyFill="1" applyBorder="1" applyAlignment="1">
      <alignment horizontal="center" vertical="center" wrapText="1"/>
    </xf>
    <xf numFmtId="4" fontId="29" fillId="9" borderId="31" xfId="5" applyNumberFormat="1" applyFont="1" applyFill="1" applyBorder="1" applyAlignment="1">
      <alignment horizontal="center" vertical="center" wrapText="1"/>
    </xf>
    <xf numFmtId="4" fontId="29" fillId="9" borderId="4" xfId="5" applyNumberFormat="1" applyFont="1" applyFill="1" applyBorder="1" applyAlignment="1">
      <alignment horizontal="center" vertical="center" wrapText="1"/>
    </xf>
    <xf numFmtId="4" fontId="29" fillId="9" borderId="32" xfId="5" applyNumberFormat="1" applyFont="1" applyFill="1" applyBorder="1" applyAlignment="1">
      <alignment horizontal="center" vertical="center" wrapText="1"/>
    </xf>
    <xf numFmtId="0" fontId="9" fillId="6" borderId="27" xfId="5" applyFont="1" applyFill="1" applyBorder="1" applyAlignment="1">
      <alignment horizontal="center" vertical="center"/>
    </xf>
    <xf numFmtId="0" fontId="9" fillId="6" borderId="33" xfId="5" applyFont="1" applyFill="1" applyBorder="1" applyAlignment="1">
      <alignment horizontal="center" vertical="center"/>
    </xf>
    <xf numFmtId="4" fontId="9" fillId="6" borderId="27" xfId="5" applyNumberFormat="1" applyFont="1" applyFill="1" applyBorder="1" applyAlignment="1">
      <alignment horizontal="center" vertical="center" wrapText="1"/>
    </xf>
    <xf numFmtId="4" fontId="9" fillId="6" borderId="33" xfId="5" applyNumberFormat="1" applyFont="1" applyFill="1" applyBorder="1" applyAlignment="1">
      <alignment horizontal="center" vertical="center" wrapText="1"/>
    </xf>
    <xf numFmtId="0" fontId="9" fillId="6" borderId="27" xfId="5" applyFont="1" applyFill="1" applyBorder="1" applyAlignment="1">
      <alignment horizontal="center" vertical="center" wrapText="1"/>
    </xf>
    <xf numFmtId="0" fontId="9" fillId="6" borderId="33" xfId="5" applyFont="1" applyFill="1" applyBorder="1" applyAlignment="1">
      <alignment horizontal="center" vertical="center" wrapText="1"/>
    </xf>
    <xf numFmtId="0" fontId="8" fillId="0" borderId="39" xfId="0" applyFont="1" applyBorder="1" applyAlignment="1">
      <alignment horizontal="left" vertical="center"/>
    </xf>
    <xf numFmtId="0" fontId="8" fillId="0" borderId="22" xfId="0" applyFont="1" applyBorder="1" applyAlignment="1">
      <alignment horizontal="left" vertical="center"/>
    </xf>
    <xf numFmtId="4" fontId="8" fillId="0" borderId="23" xfId="0" applyNumberFormat="1" applyFont="1" applyBorder="1" applyAlignment="1">
      <alignment horizontal="right" vertical="center"/>
    </xf>
    <xf numFmtId="4" fontId="8" fillId="0" borderId="2" xfId="0" applyNumberFormat="1" applyFont="1" applyBorder="1" applyAlignment="1">
      <alignment horizontal="right" vertical="center"/>
    </xf>
    <xf numFmtId="0" fontId="8" fillId="0" borderId="43" xfId="0" applyFont="1" applyBorder="1" applyAlignment="1">
      <alignment horizontal="left" vertical="center"/>
    </xf>
    <xf numFmtId="0" fontId="8" fillId="0" borderId="44" xfId="0" applyFont="1" applyBorder="1" applyAlignment="1">
      <alignment horizontal="left" vertical="center"/>
    </xf>
    <xf numFmtId="0" fontId="33" fillId="0" borderId="28" xfId="0" applyFont="1" applyBorder="1" applyAlignment="1">
      <alignment horizontal="center" vertical="center"/>
    </xf>
    <xf numFmtId="0" fontId="33" fillId="0" borderId="29" xfId="0" applyFont="1" applyBorder="1" applyAlignment="1">
      <alignment horizontal="center" vertical="center"/>
    </xf>
    <xf numFmtId="0" fontId="33" fillId="0" borderId="30" xfId="0" applyFont="1" applyBorder="1" applyAlignment="1">
      <alignment horizontal="center" vertical="center"/>
    </xf>
    <xf numFmtId="0" fontId="13" fillId="0" borderId="3" xfId="0" applyFont="1" applyBorder="1" applyAlignment="1" applyProtection="1">
      <alignment horizontal="center" vertical="center"/>
      <protection hidden="1"/>
    </xf>
    <xf numFmtId="49" fontId="11" fillId="5" borderId="4" xfId="0" applyNumberFormat="1" applyFont="1" applyFill="1" applyBorder="1" applyAlignment="1" applyProtection="1">
      <alignment horizontal="center" vertical="center"/>
      <protection hidden="1"/>
    </xf>
    <xf numFmtId="49" fontId="10" fillId="0" borderId="3" xfId="0" applyNumberFormat="1" applyFont="1" applyBorder="1" applyAlignment="1" applyProtection="1">
      <alignment horizontal="center" vertical="center"/>
      <protection hidden="1"/>
    </xf>
    <xf numFmtId="0" fontId="10" fillId="0" borderId="3" xfId="0" applyFont="1" applyBorder="1" applyAlignment="1" applyProtection="1">
      <alignment horizontal="center" vertical="center"/>
      <protection hidden="1"/>
    </xf>
    <xf numFmtId="0" fontId="11" fillId="0" borderId="4" xfId="0" applyFont="1" applyBorder="1" applyAlignment="1" applyProtection="1">
      <alignment horizontal="left" vertical="center" wrapText="1"/>
      <protection hidden="1"/>
    </xf>
    <xf numFmtId="49" fontId="11" fillId="5" borderId="3" xfId="0" applyNumberFormat="1" applyFont="1" applyFill="1" applyBorder="1" applyAlignment="1" applyProtection="1">
      <alignment horizontal="center" vertical="center"/>
      <protection hidden="1"/>
    </xf>
    <xf numFmtId="0" fontId="11" fillId="0" borderId="3" xfId="0" applyFont="1" applyBorder="1" applyAlignment="1" applyProtection="1">
      <alignment horizontal="left" vertical="center"/>
      <protection hidden="1"/>
    </xf>
    <xf numFmtId="0" fontId="13" fillId="5" borderId="3" xfId="0" applyFont="1" applyFill="1" applyBorder="1" applyAlignment="1" applyProtection="1">
      <alignment horizontal="center" vertical="center"/>
      <protection hidden="1"/>
    </xf>
    <xf numFmtId="49" fontId="11" fillId="0" borderId="4" xfId="0" applyNumberFormat="1" applyFont="1" applyBorder="1" applyAlignment="1" applyProtection="1">
      <alignment horizontal="center" vertical="center"/>
      <protection hidden="1"/>
    </xf>
    <xf numFmtId="49" fontId="10" fillId="5" borderId="3" xfId="0" applyNumberFormat="1" applyFont="1" applyFill="1" applyBorder="1" applyAlignment="1" applyProtection="1">
      <alignment horizontal="center" vertical="center"/>
      <protection hidden="1"/>
    </xf>
    <xf numFmtId="0" fontId="11" fillId="0" borderId="3" xfId="0" applyFont="1" applyBorder="1" applyAlignment="1" applyProtection="1">
      <alignment horizontal="left" vertical="center" wrapText="1"/>
      <protection hidden="1"/>
    </xf>
    <xf numFmtId="49" fontId="11" fillId="0" borderId="3" xfId="0" applyNumberFormat="1" applyFont="1" applyBorder="1" applyAlignment="1" applyProtection="1">
      <alignment horizontal="center" vertical="center"/>
      <protection hidden="1"/>
    </xf>
    <xf numFmtId="0" fontId="11" fillId="5" borderId="4" xfId="0" applyFont="1" applyFill="1" applyBorder="1" applyAlignment="1" applyProtection="1">
      <alignment horizontal="left" vertical="center" wrapText="1"/>
      <protection hidden="1"/>
    </xf>
    <xf numFmtId="0" fontId="9" fillId="7" borderId="0" xfId="2" applyFont="1" applyFill="1" applyAlignment="1">
      <alignment horizontal="center"/>
    </xf>
    <xf numFmtId="0" fontId="25" fillId="10" borderId="46" xfId="2" applyFont="1" applyFill="1" applyBorder="1" applyAlignment="1">
      <alignment horizontal="center" vertical="center" wrapText="1"/>
    </xf>
    <xf numFmtId="0" fontId="25" fillId="10" borderId="22" xfId="2" applyFont="1" applyFill="1" applyBorder="1" applyAlignment="1">
      <alignment horizontal="center" vertical="center" wrapText="1"/>
    </xf>
    <xf numFmtId="0" fontId="25" fillId="10" borderId="23" xfId="2" applyFont="1" applyFill="1" applyBorder="1" applyAlignment="1">
      <alignment horizontal="center" vertical="center" wrapText="1"/>
    </xf>
    <xf numFmtId="0" fontId="9" fillId="10" borderId="46" xfId="2" applyFont="1" applyFill="1" applyBorder="1" applyAlignment="1">
      <alignment horizontal="center" vertical="center" wrapText="1"/>
    </xf>
    <xf numFmtId="0" fontId="9" fillId="10" borderId="22" xfId="2" applyFont="1" applyFill="1" applyBorder="1" applyAlignment="1">
      <alignment horizontal="center" vertical="center" wrapText="1"/>
    </xf>
    <xf numFmtId="0" fontId="9" fillId="10" borderId="23" xfId="2" applyFont="1" applyFill="1" applyBorder="1" applyAlignment="1">
      <alignment horizontal="center" vertical="center" wrapText="1"/>
    </xf>
    <xf numFmtId="0" fontId="23" fillId="0" borderId="0" xfId="2" applyAlignment="1">
      <alignment horizontal="center"/>
    </xf>
    <xf numFmtId="0" fontId="23" fillId="0" borderId="0" xfId="2" applyAlignment="1">
      <alignment horizontal="center" vertical="center" wrapText="1"/>
    </xf>
    <xf numFmtId="0" fontId="9" fillId="10" borderId="46" xfId="2" applyFont="1" applyFill="1" applyBorder="1" applyAlignment="1">
      <alignment horizontal="center"/>
    </xf>
    <xf numFmtId="0" fontId="9" fillId="10" borderId="22" xfId="2" applyFont="1" applyFill="1" applyBorder="1" applyAlignment="1">
      <alignment horizontal="center"/>
    </xf>
    <xf numFmtId="0" fontId="9" fillId="10" borderId="23" xfId="2" applyFont="1" applyFill="1" applyBorder="1" applyAlignment="1">
      <alignment horizontal="center"/>
    </xf>
    <xf numFmtId="49" fontId="9" fillId="8" borderId="6" xfId="2" applyNumberFormat="1" applyFont="1" applyFill="1" applyBorder="1" applyAlignment="1">
      <alignment horizontal="left" vertical="center" wrapText="1"/>
    </xf>
    <xf numFmtId="49" fontId="23" fillId="8" borderId="7" xfId="2" applyNumberFormat="1" applyFill="1" applyBorder="1" applyAlignment="1">
      <alignment horizontal="left" vertical="center" wrapText="1"/>
    </xf>
    <xf numFmtId="49" fontId="23" fillId="8" borderId="8" xfId="2" applyNumberFormat="1" applyFill="1" applyBorder="1" applyAlignment="1">
      <alignment horizontal="left" vertical="center" wrapText="1"/>
    </xf>
    <xf numFmtId="49" fontId="23" fillId="8" borderId="0" xfId="2" applyNumberFormat="1" applyFill="1" applyAlignment="1">
      <alignment horizontal="left" vertical="center" wrapText="1"/>
    </xf>
    <xf numFmtId="49" fontId="23" fillId="8" borderId="9" xfId="2" applyNumberFormat="1" applyFill="1" applyBorder="1" applyAlignment="1">
      <alignment horizontal="left" vertical="center" wrapText="1"/>
    </xf>
    <xf numFmtId="49" fontId="23" fillId="8" borderId="10" xfId="2" applyNumberFormat="1" applyFill="1" applyBorder="1" applyAlignment="1">
      <alignment horizontal="left" vertical="center" wrapText="1"/>
    </xf>
    <xf numFmtId="0" fontId="9" fillId="0" borderId="0" xfId="2" applyFont="1" applyAlignment="1">
      <alignment horizontal="center" vertical="top" wrapText="1"/>
    </xf>
    <xf numFmtId="4" fontId="17" fillId="5" borderId="97" xfId="4" applyNumberFormat="1" applyFont="1" applyFill="1" applyBorder="1" applyAlignment="1">
      <alignment horizontal="right" vertical="center"/>
    </xf>
    <xf numFmtId="4" fontId="17" fillId="5" borderId="96" xfId="4" applyNumberFormat="1" applyFont="1" applyFill="1" applyBorder="1" applyAlignment="1">
      <alignment horizontal="right" vertical="center"/>
    </xf>
    <xf numFmtId="4" fontId="17" fillId="5" borderId="36" xfId="4" applyNumberFormat="1" applyFont="1" applyFill="1" applyBorder="1" applyAlignment="1">
      <alignment horizontal="right" vertical="center"/>
    </xf>
    <xf numFmtId="4" fontId="17" fillId="5" borderId="101" xfId="4" applyNumberFormat="1" applyFont="1" applyFill="1" applyBorder="1" applyAlignment="1">
      <alignment horizontal="right" vertical="center"/>
    </xf>
    <xf numFmtId="4" fontId="17" fillId="5" borderId="100" xfId="4" applyNumberFormat="1" applyFont="1" applyFill="1" applyBorder="1" applyAlignment="1">
      <alignment horizontal="right" vertical="center"/>
    </xf>
    <xf numFmtId="4" fontId="17" fillId="5" borderId="25" xfId="4" applyNumberFormat="1" applyFont="1" applyFill="1" applyBorder="1" applyAlignment="1">
      <alignment horizontal="right" vertical="center"/>
    </xf>
    <xf numFmtId="10" fontId="9" fillId="0" borderId="90" xfId="4" applyNumberFormat="1" applyFont="1" applyBorder="1" applyAlignment="1">
      <alignment horizontal="center" vertical="center"/>
    </xf>
    <xf numFmtId="10" fontId="9" fillId="0" borderId="89" xfId="4" applyNumberFormat="1" applyFont="1" applyBorder="1" applyAlignment="1">
      <alignment horizontal="center" vertical="center"/>
    </xf>
    <xf numFmtId="10" fontId="9" fillId="0" borderId="88" xfId="4" applyNumberFormat="1" applyFont="1" applyBorder="1" applyAlignment="1">
      <alignment horizontal="center" vertical="center"/>
    </xf>
    <xf numFmtId="10" fontId="9" fillId="0" borderId="91" xfId="4" applyNumberFormat="1" applyFont="1" applyBorder="1" applyAlignment="1">
      <alignment horizontal="center" vertical="center"/>
    </xf>
    <xf numFmtId="10" fontId="9" fillId="0" borderId="22" xfId="4" applyNumberFormat="1" applyFont="1" applyBorder="1" applyAlignment="1">
      <alignment horizontal="center" vertical="center"/>
    </xf>
    <xf numFmtId="10" fontId="9" fillId="0" borderId="93" xfId="4" applyNumberFormat="1" applyFont="1" applyBorder="1" applyAlignment="1">
      <alignment horizontal="center" vertical="center"/>
    </xf>
    <xf numFmtId="10" fontId="9" fillId="0" borderId="94" xfId="4" applyNumberFormat="1" applyFont="1" applyBorder="1" applyAlignment="1">
      <alignment horizontal="center" vertical="center"/>
    </xf>
    <xf numFmtId="10" fontId="9" fillId="0" borderId="106" xfId="4" applyNumberFormat="1" applyFont="1" applyBorder="1" applyAlignment="1">
      <alignment horizontal="center" vertical="center"/>
    </xf>
    <xf numFmtId="10" fontId="9" fillId="0" borderId="107" xfId="4" applyNumberFormat="1" applyFont="1" applyBorder="1" applyAlignment="1">
      <alignment horizontal="center" vertical="center"/>
    </xf>
    <xf numFmtId="10" fontId="9" fillId="0" borderId="92" xfId="4" applyNumberFormat="1" applyFont="1" applyBorder="1" applyAlignment="1">
      <alignment horizontal="center" vertical="center"/>
    </xf>
    <xf numFmtId="0" fontId="20" fillId="5" borderId="77" xfId="4" applyFill="1" applyBorder="1" applyAlignment="1">
      <alignment horizontal="center" vertical="center"/>
    </xf>
    <xf numFmtId="0" fontId="20" fillId="13" borderId="78" xfId="7" applyFill="1" applyBorder="1" applyAlignment="1">
      <alignment horizontal="left" vertical="center" wrapText="1"/>
    </xf>
    <xf numFmtId="0" fontId="20" fillId="13" borderId="79" xfId="7" applyFill="1" applyBorder="1" applyAlignment="1">
      <alignment horizontal="left" vertical="center" wrapText="1"/>
    </xf>
    <xf numFmtId="0" fontId="20" fillId="0" borderId="20" xfId="4" applyBorder="1" applyAlignment="1">
      <alignment horizontal="center" vertical="center"/>
    </xf>
    <xf numFmtId="0" fontId="20" fillId="0" borderId="21" xfId="4" applyBorder="1" applyAlignment="1">
      <alignment horizontal="center" vertical="center"/>
    </xf>
    <xf numFmtId="0" fontId="20" fillId="0" borderId="95" xfId="4" applyBorder="1" applyAlignment="1">
      <alignment horizontal="center" vertical="center"/>
    </xf>
    <xf numFmtId="0" fontId="20" fillId="0" borderId="90" xfId="4" applyBorder="1" applyAlignment="1">
      <alignment horizontal="center" vertical="center"/>
    </xf>
    <xf numFmtId="0" fontId="20" fillId="0" borderId="87" xfId="4" applyBorder="1" applyAlignment="1">
      <alignment horizontal="center" vertical="center"/>
    </xf>
    <xf numFmtId="0" fontId="20" fillId="0" borderId="47" xfId="4" applyBorder="1" applyAlignment="1">
      <alignment horizontal="center" vertical="center"/>
    </xf>
    <xf numFmtId="0" fontId="20" fillId="0" borderId="99" xfId="4" applyBorder="1" applyAlignment="1">
      <alignment horizontal="center" vertical="center"/>
    </xf>
    <xf numFmtId="0" fontId="20" fillId="5" borderId="61" xfId="4" applyFill="1" applyBorder="1" applyAlignment="1">
      <alignment horizontal="center" vertical="center"/>
    </xf>
    <xf numFmtId="0" fontId="20" fillId="5" borderId="71" xfId="4" applyFill="1" applyBorder="1" applyAlignment="1">
      <alignment horizontal="center" vertical="center"/>
    </xf>
    <xf numFmtId="0" fontId="20" fillId="5" borderId="53" xfId="4" applyFill="1" applyBorder="1" applyAlignment="1">
      <alignment horizontal="center" vertical="center"/>
    </xf>
    <xf numFmtId="0" fontId="20" fillId="5" borderId="102" xfId="4" applyFill="1" applyBorder="1" applyAlignment="1">
      <alignment horizontal="center" vertical="center"/>
    </xf>
    <xf numFmtId="10" fontId="9" fillId="0" borderId="87" xfId="4" applyNumberFormat="1" applyFont="1" applyBorder="1" applyAlignment="1">
      <alignment horizontal="center" vertical="center"/>
    </xf>
    <xf numFmtId="165" fontId="20" fillId="0" borderId="98" xfId="4" applyNumberFormat="1" applyBorder="1" applyAlignment="1">
      <alignment horizontal="center" vertical="center"/>
    </xf>
    <xf numFmtId="165" fontId="20" fillId="0" borderId="24" xfId="4" applyNumberFormat="1" applyBorder="1" applyAlignment="1">
      <alignment horizontal="center" vertical="center"/>
    </xf>
    <xf numFmtId="0" fontId="20" fillId="13" borderId="81" xfId="7" applyFill="1" applyBorder="1" applyAlignment="1">
      <alignment horizontal="left" vertical="center" wrapText="1"/>
    </xf>
    <xf numFmtId="0" fontId="20" fillId="13" borderId="82" xfId="7" applyFill="1" applyBorder="1" applyAlignment="1">
      <alignment horizontal="left" vertical="center" wrapText="1"/>
    </xf>
    <xf numFmtId="0" fontId="20" fillId="0" borderId="77" xfId="4" applyBorder="1" applyAlignment="1">
      <alignment horizontal="center" vertical="center"/>
    </xf>
    <xf numFmtId="0" fontId="17" fillId="13" borderId="51" xfId="6" applyFont="1" applyFill="1" applyBorder="1" applyAlignment="1">
      <alignment horizontal="center" vertical="center"/>
    </xf>
    <xf numFmtId="0" fontId="17" fillId="13" borderId="3" xfId="6" applyFont="1" applyFill="1" applyBorder="1" applyAlignment="1">
      <alignment horizontal="center" vertical="center"/>
    </xf>
    <xf numFmtId="0" fontId="17" fillId="13" borderId="52" xfId="6" applyFont="1" applyFill="1" applyBorder="1" applyAlignment="1">
      <alignment horizontal="center" vertical="center"/>
    </xf>
    <xf numFmtId="0" fontId="20" fillId="0" borderId="61" xfId="4" applyBorder="1" applyAlignment="1">
      <alignment horizontal="center" vertical="center"/>
    </xf>
    <xf numFmtId="0" fontId="20" fillId="0" borderId="71" xfId="4" applyBorder="1" applyAlignment="1">
      <alignment horizontal="center" vertical="center"/>
    </xf>
    <xf numFmtId="0" fontId="20" fillId="0" borderId="53" xfId="4" applyBorder="1" applyAlignment="1">
      <alignment horizontal="center" vertical="center"/>
    </xf>
    <xf numFmtId="0" fontId="20" fillId="13" borderId="62" xfId="7" applyFill="1" applyBorder="1" applyAlignment="1">
      <alignment horizontal="left" vertical="center" wrapText="1"/>
    </xf>
    <xf numFmtId="0" fontId="20" fillId="13" borderId="103" xfId="7" applyFill="1" applyBorder="1" applyAlignment="1">
      <alignment horizontal="left" vertical="center" wrapText="1"/>
    </xf>
    <xf numFmtId="0" fontId="20" fillId="13" borderId="72" xfId="7" applyFill="1" applyBorder="1" applyAlignment="1">
      <alignment horizontal="left" vertical="center" wrapText="1"/>
    </xf>
    <xf numFmtId="0" fontId="20" fillId="13" borderId="21" xfId="7" applyFill="1" applyBorder="1" applyAlignment="1">
      <alignment horizontal="left" vertical="center" wrapText="1"/>
    </xf>
    <xf numFmtId="0" fontId="20" fillId="13" borderId="54" xfId="7" applyFill="1" applyBorder="1" applyAlignment="1">
      <alignment horizontal="left" vertical="center" wrapText="1"/>
    </xf>
    <xf numFmtId="0" fontId="20" fillId="13" borderId="104" xfId="7" applyFill="1" applyBorder="1" applyAlignment="1">
      <alignment horizontal="left" vertical="center" wrapText="1"/>
    </xf>
    <xf numFmtId="0" fontId="20" fillId="13" borderId="63" xfId="7" applyFill="1" applyBorder="1" applyAlignment="1">
      <alignment horizontal="left" vertical="center" wrapText="1"/>
    </xf>
    <xf numFmtId="0" fontId="20" fillId="13" borderId="0" xfId="7" applyFill="1" applyBorder="1" applyAlignment="1">
      <alignment horizontal="left" vertical="center" wrapText="1"/>
    </xf>
    <xf numFmtId="0" fontId="20" fillId="13" borderId="55" xfId="7" applyFill="1" applyBorder="1" applyAlignment="1">
      <alignment horizontal="left" vertical="center" wrapText="1"/>
    </xf>
    <xf numFmtId="2" fontId="37" fillId="0" borderId="0" xfId="3" applyNumberFormat="1" applyFont="1" applyAlignment="1">
      <alignment horizontal="center"/>
    </xf>
    <xf numFmtId="4" fontId="17" fillId="5" borderId="92" xfId="4" applyNumberFormat="1" applyFont="1" applyFill="1" applyBorder="1" applyAlignment="1">
      <alignment horizontal="right" vertical="center"/>
    </xf>
    <xf numFmtId="4" fontId="17" fillId="5" borderId="94" xfId="4" applyNumberFormat="1" applyFont="1" applyFill="1" applyBorder="1" applyAlignment="1">
      <alignment horizontal="right" vertical="center"/>
    </xf>
    <xf numFmtId="4" fontId="17" fillId="5" borderId="93" xfId="4" applyNumberFormat="1" applyFont="1" applyFill="1" applyBorder="1" applyAlignment="1">
      <alignment horizontal="right" vertical="center"/>
    </xf>
    <xf numFmtId="4" fontId="17" fillId="5" borderId="110" xfId="4" applyNumberFormat="1" applyFont="1" applyFill="1" applyBorder="1" applyAlignment="1">
      <alignment horizontal="right" vertical="center"/>
    </xf>
    <xf numFmtId="4" fontId="17" fillId="5" borderId="111" xfId="4" applyNumberFormat="1" applyFont="1" applyFill="1" applyBorder="1" applyAlignment="1">
      <alignment horizontal="right" vertical="center"/>
    </xf>
    <xf numFmtId="4" fontId="38" fillId="0" borderId="2" xfId="3" applyNumberFormat="1" applyFont="1" applyBorder="1" applyAlignment="1">
      <alignment horizontal="center"/>
    </xf>
    <xf numFmtId="0" fontId="38" fillId="0" borderId="2" xfId="3" applyFont="1" applyBorder="1" applyAlignment="1">
      <alignment horizontal="center"/>
    </xf>
  </cellXfs>
  <cellStyles count="8">
    <cellStyle name="Normal" xfId="0" builtinId="0"/>
    <cellStyle name="Normal 10 3" xfId="4" xr:uid="{E0D3F3F1-D075-4BF6-87B4-D3FBE6E3CBB4}"/>
    <cellStyle name="Normal 2" xfId="1" xr:uid="{00000000-0005-0000-0000-000001000000}"/>
    <cellStyle name="Normal 2_DGS - ORCAMENTO_EP_12_MESES_R2" xfId="6" xr:uid="{7B96134A-6179-4B29-A276-342861588255}"/>
    <cellStyle name="Normal 3" xfId="2" xr:uid="{768CE726-C428-45BD-B935-D5CE150E7047}"/>
    <cellStyle name="Normal 3 2" xfId="5" xr:uid="{B7E9975E-4D00-4B58-A112-07D332306D3B}"/>
    <cellStyle name="Normal 5" xfId="3" xr:uid="{96C61776-1CA7-40D1-B71D-141FB3FD0B92}"/>
    <cellStyle name="Normal_DGS - ORCAMENTO_EP_12_MESES_R2" xfId="7" xr:uid="{A91D79DB-2ECA-4ED1-BDF6-2E0F15AD9A29}"/>
  </cellStyles>
  <dxfs count="68">
    <dxf>
      <font>
        <b/>
        <i val="0"/>
        <color rgb="FFFF0000"/>
      </font>
    </dxf>
    <dxf>
      <font>
        <condense val="0"/>
        <extend val="0"/>
        <color indexed="10"/>
      </font>
    </dxf>
    <dxf>
      <font>
        <condense val="0"/>
        <extend val="0"/>
        <color indexed="10"/>
      </font>
    </dxf>
    <dxf>
      <font>
        <condense val="0"/>
        <extend val="0"/>
        <color indexed="10"/>
      </font>
    </dxf>
    <dxf>
      <font>
        <b/>
        <i val="0"/>
        <color rgb="FFFF000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lor rgb="FFFF0000"/>
      </font>
    </dxf>
    <dxf>
      <font>
        <condense val="0"/>
        <extend val="0"/>
        <color indexed="10"/>
      </font>
    </dxf>
    <dxf>
      <font>
        <condense val="0"/>
        <extend val="0"/>
        <color indexed="10"/>
      </font>
    </dxf>
    <dxf>
      <font>
        <b/>
        <i val="0"/>
        <color rgb="FFFF0000"/>
      </font>
    </dxf>
    <dxf>
      <font>
        <condense val="0"/>
        <extend val="0"/>
        <color indexed="10"/>
      </font>
    </dxf>
    <dxf>
      <font>
        <condense val="0"/>
        <extend val="0"/>
        <color indexed="10"/>
      </font>
    </dxf>
    <dxf>
      <font>
        <b/>
        <i val="0"/>
        <color rgb="FFFF000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lor rgb="FFFF0000"/>
      </font>
    </dxf>
    <dxf>
      <font>
        <condense val="0"/>
        <extend val="0"/>
        <color indexed="10"/>
      </font>
    </dxf>
    <dxf>
      <font>
        <condense val="0"/>
        <extend val="0"/>
        <color indexed="10"/>
      </font>
    </dxf>
    <dxf>
      <font>
        <b/>
        <i val="0"/>
        <color rgb="FFFF0000"/>
      </font>
    </dxf>
    <dxf>
      <font>
        <condense val="0"/>
        <extend val="0"/>
        <color indexed="10"/>
      </font>
    </dxf>
    <dxf>
      <font>
        <condense val="0"/>
        <extend val="0"/>
        <color indexed="10"/>
      </font>
    </dxf>
    <dxf>
      <font>
        <b/>
        <i val="0"/>
        <color rgb="FFFF0000"/>
      </font>
    </dxf>
    <dxf>
      <font>
        <condense val="0"/>
        <extend val="0"/>
        <color indexed="10"/>
      </font>
    </dxf>
    <dxf>
      <font>
        <condense val="0"/>
        <extend val="0"/>
        <color indexed="10"/>
      </font>
    </dxf>
  </dxfs>
  <tableStyles count="0" defaultTableStyle="TableStyleMedium9" defaultPivotStyle="PivotStyleLight16"/>
  <colors>
    <mruColors>
      <color rgb="FFD8ECF6"/>
      <color rgb="FFDFF0D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externalLink" Target="externalLinks/externalLink10.xml"/><Relationship Id="rId10" Type="http://schemas.openxmlformats.org/officeDocument/2006/relationships/externalLink" Target="externalLinks/externalLink5.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DTS.GRP\DCAST.GRP\Editais\Concorrencias\CO02402(CSC)\Orcamento\Orcamento%20CSC.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A:\DTS.GRP\DCAST.GRP\Editais\Concorre\CO02402(CSC)\Orcamento\Efetivo%20com%20sal&#225;rio.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Sesc/Or&#231;amentos/Galp&#227;o%20de%20Paraty/Or&#231;amento/R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GERENCIAL\AGA\Moderniza&#231;&#227;o%20Estreito\Sugest&#245;es%20Estreito\Adicionais%20para%20Servi&#231;os%20Complementare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apucaia0301\dsg\Documents%20and%20Settings\castro.filho\Configura&#231;&#245;es%20locais\Temporary%20Internet%20Files\Content.IE5\ODKRKZW3\modelo%20br153_paraiso.xls" TargetMode="External"/></Relationships>
</file>

<file path=xl/externalLinks/_rels/externalLink4.xml.rels><?xml version="1.0" encoding="UTF-8" standalone="yes"?>
<Relationships xmlns="http://schemas.openxmlformats.org/package/2006/relationships"><Relationship Id="rId2" Type="http://schemas.microsoft.com/office/2019/04/relationships/externalLinkLongPath" Target="file:///\\Sapucaia0301\dsg\Documents%20and%20Settings\bolivar.euler\Meus%20documentos\DNIT\LICITA&#199;&#213;ES\Restaura&#231;&#227;o\PATO%20BR%20242%20-%20KM%200,0%20a%2018,4%20-%20Taguatinga\amauri.lima\Configura&#231;&#245;es%20locais\Temporary%20Internet%20Files\OLK7AC\modelo%20br153_paraiso.xls?9FEA0D0A" TargetMode="External"/><Relationship Id="rId1" Type="http://schemas.openxmlformats.org/officeDocument/2006/relationships/externalLinkPath" Target="file:///\\9FEA0D0A\modelo%20br153_paraiso.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R:\DOCUME~1\FR2038~1.COR\CONFIG~1\Temp\Encargos%20Sociais%20e%20BDI%20Clovis%2015_03_2005.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P:\Arli%20Camilo\ANEXO%203%20-%20COMPOSI&#199;&#213;ES%20Consenso%20308%20077.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apucaia0301\dsg\DOCUME~1\fc71032\CONFIG~1\Temp\n.notes\~303113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P:\Documents%20and%20Settings\win\Meus%20documentos\00%20AHE%20SIMPLICO\06%20DIVERSOS\Plan%20Med%20FURNAS-15_ARRUMANDO.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I:\Orcamentos\OrcamentoInvestimento\Previsao_Set_06\Or&#231;amento_Moderniza&#231;&#245;es_memorias_rev_22090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l Financeira"/>
      <sheetName val="Prev díssidio "/>
      <sheetName val="Anex VIII Encargos Soc"/>
      <sheetName val="Anex VIII Enc Soc A"/>
      <sheetName val="Anex IX Enc  Soc B"/>
      <sheetName val="Anex IX Encargos Soc"/>
      <sheetName val="Mem Enc Soc TA"/>
      <sheetName val="Mem Enc Soc TB"/>
      <sheetName val="D"/>
      <sheetName val="Anexos RE"/>
      <sheetName val="Fator K"/>
      <sheetName val="Comp BDI"/>
      <sheetName val="Anexos do Edital"/>
      <sheetName val="Anex. I Lim. Sup"/>
      <sheetName val="Anex. II Plan.A"/>
      <sheetName val="Anex. III Plan.B"/>
      <sheetName val="Anex. IV Adicionais"/>
      <sheetName val="Anex V Plan. Equipam."/>
      <sheetName val="Anex VI Fornec. Div"/>
      <sheetName val="Anex VII Resumo"/>
      <sheetName val="Anexo IC RE (2)"/>
      <sheetName val="Anexo IC RE"/>
      <sheetName val="Relação Obras "/>
      <sheetName val="Capa"/>
      <sheetName val="Relação Obras  (2)"/>
      <sheetName val="CR2880"/>
      <sheetName val="PlanA"/>
      <sheetName val="PlanB"/>
      <sheetName val="EFETIVO ORC"/>
      <sheetName val="Capa (2)"/>
      <sheetName val="Módulo1"/>
      <sheetName val="Módulo2"/>
      <sheetName val="Módulo3"/>
      <sheetName val="Módulo4"/>
      <sheetName val="Módulo5"/>
    </sheetNames>
    <sheetDataSet>
      <sheetData sheetId="0"/>
      <sheetData sheetId="1"/>
      <sheetData sheetId="2"/>
      <sheetData sheetId="3"/>
      <sheetData sheetId="4"/>
      <sheetData sheetId="5"/>
      <sheetData sheetId="6"/>
      <sheetData sheetId="7"/>
      <sheetData sheetId="8"/>
      <sheetData sheetId="9"/>
      <sheetData sheetId="10">
        <row r="8">
          <cell r="B8" t="str">
            <v>CO.APR.T.024.2002</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efreshError="1"/>
      <sheetData sheetId="31" refreshError="1"/>
      <sheetData sheetId="32" refreshError="1"/>
      <sheetData sheetId="33" refreshError="1"/>
      <sheetData sheetId="34"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o"/>
      <sheetName val="DLAS.T"/>
      <sheetName val="SÃO PAULO"/>
      <sheetName val="DTS.T"/>
      <sheetName val="ECMOT"/>
      <sheetName val="LT"/>
      <sheetName val="mogi"/>
      <sheetName val="tijuco"/>
      <sheetName val="IBIÚNA"/>
      <sheetName val="APOIO"/>
      <sheetName val="Tabela"/>
    </sheetNames>
    <sheetDataSet>
      <sheetData sheetId="0"/>
      <sheetData sheetId="1"/>
      <sheetData sheetId="2"/>
      <sheetData sheetId="3"/>
      <sheetData sheetId="4"/>
      <sheetData sheetId="5"/>
      <sheetData sheetId="6"/>
      <sheetData sheetId="7"/>
      <sheetData sheetId="8"/>
      <sheetData sheetId="9"/>
      <sheetData sheetId="10">
        <row r="5">
          <cell r="B5" t="str">
            <v>Nível</v>
          </cell>
          <cell r="C5" t="str">
            <v>Salário</v>
          </cell>
          <cell r="F5" t="str">
            <v>Nível</v>
          </cell>
          <cell r="G5" t="str">
            <v>Salário</v>
          </cell>
        </row>
        <row r="6">
          <cell r="B6" t="str">
            <v>A2/L</v>
          </cell>
          <cell r="C6">
            <v>353.33</v>
          </cell>
          <cell r="F6" t="str">
            <v>A1/L</v>
          </cell>
          <cell r="G6">
            <v>353.33</v>
          </cell>
        </row>
        <row r="7">
          <cell r="B7" t="str">
            <v>A2/01</v>
          </cell>
          <cell r="C7">
            <v>374.53</v>
          </cell>
          <cell r="F7" t="str">
            <v>A1/01</v>
          </cell>
          <cell r="G7">
            <v>374.53</v>
          </cell>
        </row>
        <row r="8">
          <cell r="B8" t="str">
            <v>A2/02</v>
          </cell>
          <cell r="C8">
            <v>388.66</v>
          </cell>
          <cell r="F8" t="str">
            <v>A1/02</v>
          </cell>
          <cell r="G8">
            <v>388.66</v>
          </cell>
        </row>
        <row r="9">
          <cell r="B9" t="str">
            <v>A2/03</v>
          </cell>
          <cell r="C9">
            <v>402.8</v>
          </cell>
          <cell r="F9" t="str">
            <v>A1/03</v>
          </cell>
          <cell r="G9">
            <v>402.8</v>
          </cell>
        </row>
        <row r="10">
          <cell r="B10" t="str">
            <v>A2/04</v>
          </cell>
          <cell r="C10">
            <v>421.64</v>
          </cell>
          <cell r="F10" t="str">
            <v>A1/04</v>
          </cell>
          <cell r="G10">
            <v>421.64</v>
          </cell>
        </row>
        <row r="11">
          <cell r="B11" t="str">
            <v>A2/05</v>
          </cell>
          <cell r="C11">
            <v>438.13</v>
          </cell>
          <cell r="F11" t="str">
            <v>A1/05</v>
          </cell>
          <cell r="G11">
            <v>438.13</v>
          </cell>
        </row>
        <row r="12">
          <cell r="B12" t="str">
            <v>A2/06</v>
          </cell>
          <cell r="C12">
            <v>454.62</v>
          </cell>
          <cell r="F12" t="str">
            <v>A1/06</v>
          </cell>
          <cell r="G12">
            <v>454.62</v>
          </cell>
        </row>
        <row r="13">
          <cell r="B13" t="str">
            <v>A2/07</v>
          </cell>
          <cell r="C13">
            <v>473.46</v>
          </cell>
          <cell r="F13" t="str">
            <v>A1/07</v>
          </cell>
          <cell r="G13">
            <v>473.46</v>
          </cell>
        </row>
        <row r="14">
          <cell r="B14" t="str">
            <v>A2/08</v>
          </cell>
          <cell r="C14">
            <v>489.95</v>
          </cell>
          <cell r="F14" t="str">
            <v>A1/08</v>
          </cell>
          <cell r="G14">
            <v>489.95</v>
          </cell>
        </row>
        <row r="15">
          <cell r="B15" t="str">
            <v>A2/09</v>
          </cell>
          <cell r="C15">
            <v>508.8</v>
          </cell>
          <cell r="F15" t="str">
            <v>A1/09</v>
          </cell>
          <cell r="G15">
            <v>508.8</v>
          </cell>
        </row>
        <row r="16">
          <cell r="B16" t="str">
            <v>A2/10</v>
          </cell>
          <cell r="C16">
            <v>532.35</v>
          </cell>
          <cell r="F16" t="str">
            <v>A1/10</v>
          </cell>
          <cell r="G16">
            <v>532.35</v>
          </cell>
        </row>
        <row r="17">
          <cell r="B17" t="str">
            <v>A2/11</v>
          </cell>
          <cell r="C17">
            <v>551.20000000000005</v>
          </cell>
          <cell r="F17" t="str">
            <v>A1/11</v>
          </cell>
          <cell r="G17">
            <v>551.20000000000005</v>
          </cell>
        </row>
        <row r="18">
          <cell r="B18" t="str">
            <v>A2/12</v>
          </cell>
          <cell r="C18">
            <v>574.75</v>
          </cell>
          <cell r="F18" t="str">
            <v>A1/12</v>
          </cell>
          <cell r="G18">
            <v>574.75</v>
          </cell>
        </row>
        <row r="19">
          <cell r="B19" t="str">
            <v>A2/13</v>
          </cell>
          <cell r="C19">
            <v>595.95000000000005</v>
          </cell>
          <cell r="F19" t="str">
            <v>A1/13</v>
          </cell>
          <cell r="G19">
            <v>595.95000000000005</v>
          </cell>
        </row>
        <row r="20">
          <cell r="B20" t="str">
            <v>A2/14</v>
          </cell>
          <cell r="C20">
            <v>621.86</v>
          </cell>
          <cell r="F20" t="str">
            <v>A1/14</v>
          </cell>
          <cell r="G20">
            <v>621.86</v>
          </cell>
        </row>
        <row r="21">
          <cell r="B21" t="str">
            <v>A2/15</v>
          </cell>
          <cell r="C21">
            <v>645.41999999999996</v>
          </cell>
          <cell r="F21" t="str">
            <v>A1/15</v>
          </cell>
          <cell r="G21">
            <v>645.41999999999996</v>
          </cell>
        </row>
        <row r="22">
          <cell r="B22" t="str">
            <v>A2/16</v>
          </cell>
          <cell r="C22">
            <v>671.33</v>
          </cell>
          <cell r="F22" t="str">
            <v>A1/16</v>
          </cell>
          <cell r="G22">
            <v>671.33</v>
          </cell>
        </row>
        <row r="23">
          <cell r="B23" t="str">
            <v>A2/17</v>
          </cell>
          <cell r="C23">
            <v>697.24</v>
          </cell>
          <cell r="F23" t="str">
            <v>A1/17</v>
          </cell>
          <cell r="G23">
            <v>697.24</v>
          </cell>
        </row>
        <row r="24">
          <cell r="B24" t="str">
            <v>A2/18</v>
          </cell>
          <cell r="C24">
            <v>725.51</v>
          </cell>
          <cell r="F24" t="str">
            <v>A1/18</v>
          </cell>
          <cell r="G24">
            <v>725.51</v>
          </cell>
        </row>
        <row r="25">
          <cell r="B25" t="str">
            <v>A2/19</v>
          </cell>
          <cell r="C25">
            <v>753.37</v>
          </cell>
          <cell r="F25" t="str">
            <v>A1/19</v>
          </cell>
          <cell r="G25">
            <v>753.37</v>
          </cell>
        </row>
        <row r="26">
          <cell r="B26" t="str">
            <v>A2/20</v>
          </cell>
          <cell r="C26">
            <v>784.39</v>
          </cell>
          <cell r="F26" t="str">
            <v>A1/20</v>
          </cell>
          <cell r="G26">
            <v>784.39</v>
          </cell>
        </row>
        <row r="27">
          <cell r="B27" t="str">
            <v>A2/21</v>
          </cell>
          <cell r="C27">
            <v>812.66</v>
          </cell>
          <cell r="F27" t="str">
            <v>A1/21</v>
          </cell>
          <cell r="G27">
            <v>812.66</v>
          </cell>
        </row>
        <row r="28">
          <cell r="B28" t="str">
            <v>A2/22</v>
          </cell>
          <cell r="C28">
            <v>840.93</v>
          </cell>
          <cell r="F28" t="str">
            <v>A1/22</v>
          </cell>
          <cell r="G28">
            <v>840.93</v>
          </cell>
        </row>
        <row r="29">
          <cell r="B29" t="str">
            <v>A2/23</v>
          </cell>
          <cell r="C29">
            <v>876.26</v>
          </cell>
          <cell r="F29" t="str">
            <v>A1/23</v>
          </cell>
          <cell r="G29">
            <v>876.26</v>
          </cell>
        </row>
        <row r="30">
          <cell r="B30" t="str">
            <v>A2/24</v>
          </cell>
          <cell r="C30">
            <v>909.24</v>
          </cell>
          <cell r="F30" t="str">
            <v>A1/24</v>
          </cell>
          <cell r="G30">
            <v>909.24</v>
          </cell>
        </row>
        <row r="31">
          <cell r="B31" t="str">
            <v>A2/25</v>
          </cell>
          <cell r="C31">
            <v>944.57</v>
          </cell>
          <cell r="F31" t="str">
            <v>A1/25</v>
          </cell>
          <cell r="G31">
            <v>944.57</v>
          </cell>
        </row>
        <row r="32">
          <cell r="B32" t="str">
            <v>A2/26</v>
          </cell>
          <cell r="C32">
            <v>984.62</v>
          </cell>
          <cell r="F32" t="str">
            <v>A1/26</v>
          </cell>
          <cell r="G32">
            <v>984.62</v>
          </cell>
        </row>
        <row r="33">
          <cell r="B33" t="str">
            <v>A2/27</v>
          </cell>
          <cell r="C33">
            <v>1022.3</v>
          </cell>
          <cell r="F33" t="str">
            <v>A1/27</v>
          </cell>
          <cell r="G33">
            <v>1022.3</v>
          </cell>
        </row>
        <row r="34">
          <cell r="B34" t="str">
            <v>A2/28</v>
          </cell>
          <cell r="C34">
            <v>1064.7</v>
          </cell>
          <cell r="F34" t="str">
            <v>A1/28</v>
          </cell>
          <cell r="G34">
            <v>1064.7</v>
          </cell>
        </row>
        <row r="35">
          <cell r="B35" t="str">
            <v>A2/29</v>
          </cell>
          <cell r="C35">
            <v>1104.75</v>
          </cell>
          <cell r="F35" t="str">
            <v>A1/29</v>
          </cell>
          <cell r="G35">
            <v>1104.75</v>
          </cell>
        </row>
        <row r="36">
          <cell r="B36" t="str">
            <v>A2/30</v>
          </cell>
          <cell r="C36">
            <v>1149.5</v>
          </cell>
          <cell r="F36" t="str">
            <v>A1/30</v>
          </cell>
          <cell r="G36">
            <v>1149.5</v>
          </cell>
        </row>
        <row r="37">
          <cell r="B37" t="str">
            <v>A2/31</v>
          </cell>
          <cell r="C37">
            <v>1194.26</v>
          </cell>
          <cell r="F37" t="str">
            <v>A1/31</v>
          </cell>
          <cell r="G37">
            <v>1194.26</v>
          </cell>
        </row>
        <row r="38">
          <cell r="B38" t="str">
            <v>A2/32</v>
          </cell>
          <cell r="C38">
            <v>1241.3699999999999</v>
          </cell>
          <cell r="F38" t="str">
            <v>A1/32</v>
          </cell>
          <cell r="G38">
            <v>1241.3699999999999</v>
          </cell>
        </row>
        <row r="39">
          <cell r="B39" t="str">
            <v>A2/33</v>
          </cell>
          <cell r="C39">
            <v>1290.8399999999999</v>
          </cell>
          <cell r="F39" t="str">
            <v>A1/33</v>
          </cell>
          <cell r="G39">
            <v>1290.8399999999999</v>
          </cell>
        </row>
        <row r="40">
          <cell r="B40" t="str">
            <v>A2/34</v>
          </cell>
          <cell r="C40">
            <v>1342.66</v>
          </cell>
          <cell r="F40" t="str">
            <v>A1/34</v>
          </cell>
          <cell r="G40">
            <v>1342.66</v>
          </cell>
        </row>
        <row r="41">
          <cell r="B41" t="str">
            <v>A2/35</v>
          </cell>
          <cell r="C41">
            <v>1396.84</v>
          </cell>
          <cell r="F41" t="str">
            <v>A1/35</v>
          </cell>
          <cell r="G41">
            <v>1396.84</v>
          </cell>
        </row>
        <row r="42">
          <cell r="B42" t="str">
            <v>A2/36</v>
          </cell>
          <cell r="C42">
            <v>1451.01</v>
          </cell>
          <cell r="F42" t="str">
            <v>A1/36</v>
          </cell>
          <cell r="G42">
            <v>1451.01</v>
          </cell>
        </row>
        <row r="43">
          <cell r="B43" t="str">
            <v>A2/37</v>
          </cell>
          <cell r="C43">
            <v>1509.9</v>
          </cell>
          <cell r="F43" t="str">
            <v>A1/37</v>
          </cell>
          <cell r="G43">
            <v>1509.9</v>
          </cell>
        </row>
        <row r="44">
          <cell r="B44" t="str">
            <v>A2/38</v>
          </cell>
          <cell r="C44">
            <v>1571.15</v>
          </cell>
          <cell r="F44" t="str">
            <v>A1/38</v>
          </cell>
          <cell r="G44">
            <v>1571.15</v>
          </cell>
        </row>
        <row r="45">
          <cell r="B45" t="str">
            <v>A2/39</v>
          </cell>
          <cell r="C45">
            <v>1632.39</v>
          </cell>
          <cell r="F45" t="str">
            <v>A1/39</v>
          </cell>
          <cell r="G45">
            <v>1632.39</v>
          </cell>
        </row>
        <row r="46">
          <cell r="B46" t="str">
            <v>A2/40</v>
          </cell>
          <cell r="C46">
            <v>1695.99</v>
          </cell>
          <cell r="F46" t="str">
            <v>A1/40</v>
          </cell>
          <cell r="G46">
            <v>1695.99</v>
          </cell>
        </row>
        <row r="47">
          <cell r="B47" t="str">
            <v>A2/41</v>
          </cell>
          <cell r="C47">
            <v>1764.3</v>
          </cell>
          <cell r="F47" t="str">
            <v>A1/41</v>
          </cell>
          <cell r="G47">
            <v>1764.3</v>
          </cell>
        </row>
        <row r="48">
          <cell r="B48" t="str">
            <v>A2/42</v>
          </cell>
          <cell r="C48">
            <v>1834.97</v>
          </cell>
          <cell r="F48" t="str">
            <v>A1/42</v>
          </cell>
          <cell r="G48">
            <v>1834.97</v>
          </cell>
        </row>
        <row r="49">
          <cell r="B49" t="str">
            <v>A2/43</v>
          </cell>
          <cell r="C49">
            <v>1907.99</v>
          </cell>
          <cell r="F49" t="str">
            <v>A1/43</v>
          </cell>
          <cell r="G49">
            <v>1907.99</v>
          </cell>
        </row>
        <row r="50">
          <cell r="B50" t="str">
            <v>A2/44</v>
          </cell>
          <cell r="C50">
            <v>1983.36</v>
          </cell>
          <cell r="F50" t="str">
            <v>A1/44</v>
          </cell>
          <cell r="G50">
            <v>1983.36</v>
          </cell>
        </row>
        <row r="51">
          <cell r="B51" t="str">
            <v>A2/45</v>
          </cell>
          <cell r="C51">
            <v>2063.4499999999998</v>
          </cell>
          <cell r="F51" t="str">
            <v>A1/45</v>
          </cell>
          <cell r="G51">
            <v>2063.4499999999998</v>
          </cell>
        </row>
        <row r="52">
          <cell r="B52" t="str">
            <v>A2/46</v>
          </cell>
          <cell r="C52">
            <v>2143.54</v>
          </cell>
          <cell r="F52" t="str">
            <v>A1/46</v>
          </cell>
          <cell r="G52">
            <v>2143.54</v>
          </cell>
        </row>
        <row r="53">
          <cell r="B53" t="str">
            <v>A2/47</v>
          </cell>
          <cell r="C53">
            <v>2228.34</v>
          </cell>
          <cell r="F53" t="str">
            <v>A1/47</v>
          </cell>
          <cell r="G53">
            <v>2228.34</v>
          </cell>
        </row>
        <row r="54">
          <cell r="B54" t="str">
            <v>A2/48</v>
          </cell>
          <cell r="C54">
            <v>2317.85</v>
          </cell>
          <cell r="F54" t="str">
            <v>A1/48</v>
          </cell>
          <cell r="G54">
            <v>2317.85</v>
          </cell>
        </row>
        <row r="55">
          <cell r="B55" t="str">
            <v>A2/49</v>
          </cell>
          <cell r="C55">
            <v>2409.7199999999998</v>
          </cell>
          <cell r="F55" t="str">
            <v>A1/49</v>
          </cell>
          <cell r="G55">
            <v>2409.7199999999998</v>
          </cell>
        </row>
        <row r="56">
          <cell r="B56" t="str">
            <v>A2/50</v>
          </cell>
          <cell r="C56">
            <v>2506.29</v>
          </cell>
          <cell r="F56" t="str">
            <v>A1/50</v>
          </cell>
          <cell r="G56">
            <v>2506.29</v>
          </cell>
        </row>
        <row r="57">
          <cell r="B57" t="str">
            <v>A2/51</v>
          </cell>
          <cell r="C57">
            <v>2605.23</v>
          </cell>
          <cell r="F57" t="str">
            <v>A1/51</v>
          </cell>
          <cell r="G57">
            <v>2605.23</v>
          </cell>
        </row>
        <row r="58">
          <cell r="B58" t="str">
            <v>A2/52</v>
          </cell>
          <cell r="C58">
            <v>2708.87</v>
          </cell>
          <cell r="F58" t="str">
            <v>A1/52</v>
          </cell>
          <cell r="G58">
            <v>2708.87</v>
          </cell>
        </row>
        <row r="59">
          <cell r="B59" t="str">
            <v>A2/53</v>
          </cell>
          <cell r="C59">
            <v>2817.23</v>
          </cell>
          <cell r="F59" t="str">
            <v>A1/53</v>
          </cell>
          <cell r="G59">
            <v>2817.23</v>
          </cell>
        </row>
        <row r="60">
          <cell r="B60" t="str">
            <v>A2/54</v>
          </cell>
          <cell r="C60">
            <v>2927.94</v>
          </cell>
          <cell r="F60" t="str">
            <v>A1/54</v>
          </cell>
          <cell r="G60">
            <v>2927.94</v>
          </cell>
        </row>
        <row r="61">
          <cell r="B61" t="str">
            <v>A2/55</v>
          </cell>
          <cell r="C61">
            <v>3045.71</v>
          </cell>
          <cell r="F61" t="str">
            <v>A1/55</v>
          </cell>
          <cell r="G61">
            <v>3045.71</v>
          </cell>
        </row>
        <row r="62">
          <cell r="B62" t="str">
            <v>A2/56</v>
          </cell>
          <cell r="C62">
            <v>3165.85</v>
          </cell>
          <cell r="F62" t="str">
            <v>A1/56</v>
          </cell>
          <cell r="G62">
            <v>3165.85</v>
          </cell>
        </row>
        <row r="63">
          <cell r="B63" t="str">
            <v>A2/57</v>
          </cell>
          <cell r="C63">
            <v>3293.04</v>
          </cell>
          <cell r="F63" t="str">
            <v>A1/57</v>
          </cell>
          <cell r="G63">
            <v>3293.04</v>
          </cell>
        </row>
        <row r="64">
          <cell r="B64" t="str">
            <v>A2/58</v>
          </cell>
          <cell r="C64">
            <v>3422.6</v>
          </cell>
          <cell r="F64" t="str">
            <v>A1/58</v>
          </cell>
          <cell r="G64">
            <v>3422.6</v>
          </cell>
        </row>
        <row r="65">
          <cell r="B65" t="str">
            <v>A2/59</v>
          </cell>
          <cell r="C65">
            <v>3559.22</v>
          </cell>
          <cell r="F65" t="str">
            <v>A1/59</v>
          </cell>
          <cell r="G65">
            <v>3559.22</v>
          </cell>
        </row>
        <row r="66">
          <cell r="B66" t="str">
            <v>A2/60</v>
          </cell>
          <cell r="C66">
            <v>3700.55</v>
          </cell>
          <cell r="F66" t="str">
            <v>A1/60</v>
          </cell>
          <cell r="G66">
            <v>3700.55</v>
          </cell>
        </row>
        <row r="67">
          <cell r="B67" t="str">
            <v>A2/61</v>
          </cell>
          <cell r="C67">
            <v>3841.89</v>
          </cell>
          <cell r="F67" t="str">
            <v>A1/61</v>
          </cell>
          <cell r="G67">
            <v>3841.89</v>
          </cell>
        </row>
        <row r="68">
          <cell r="B68" t="str">
            <v>A2/62</v>
          </cell>
          <cell r="C68">
            <v>3971.44</v>
          </cell>
          <cell r="F68" t="str">
            <v>A1/62</v>
          </cell>
          <cell r="G68">
            <v>3971.44</v>
          </cell>
        </row>
        <row r="69">
          <cell r="B69" t="str">
            <v>A2/63</v>
          </cell>
          <cell r="C69">
            <v>4108.0600000000004</v>
          </cell>
          <cell r="F69" t="str">
            <v>A1/63</v>
          </cell>
          <cell r="G69">
            <v>4108.0600000000004</v>
          </cell>
        </row>
        <row r="70">
          <cell r="B70" t="str">
            <v>A2/64</v>
          </cell>
          <cell r="C70">
            <v>4251.75</v>
          </cell>
          <cell r="F70" t="str">
            <v>A1/64</v>
          </cell>
          <cell r="G70">
            <v>4251.75</v>
          </cell>
        </row>
        <row r="71">
          <cell r="B71" t="str">
            <v>A2/65</v>
          </cell>
          <cell r="C71">
            <v>4397.79</v>
          </cell>
          <cell r="F71" t="str">
            <v>A1/65</v>
          </cell>
          <cell r="G71">
            <v>4397.79</v>
          </cell>
        </row>
        <row r="72">
          <cell r="B72" t="str">
            <v>A2/66</v>
          </cell>
          <cell r="C72">
            <v>4550.8999999999996</v>
          </cell>
          <cell r="F72" t="str">
            <v>A1/66</v>
          </cell>
          <cell r="G72">
            <v>4550.8999999999996</v>
          </cell>
        </row>
        <row r="73">
          <cell r="B73" t="str">
            <v>A2/67</v>
          </cell>
          <cell r="C73">
            <v>4708.72</v>
          </cell>
          <cell r="F73" t="str">
            <v>A1/67</v>
          </cell>
          <cell r="G73">
            <v>4708.72</v>
          </cell>
        </row>
        <row r="74">
          <cell r="B74" t="str">
            <v>A2/68</v>
          </cell>
          <cell r="C74">
            <v>4875.97</v>
          </cell>
          <cell r="F74" t="str">
            <v>A1/68</v>
          </cell>
          <cell r="G74">
            <v>4875.97</v>
          </cell>
        </row>
        <row r="75">
          <cell r="B75" t="str">
            <v>A2/69</v>
          </cell>
          <cell r="C75">
            <v>5047.92</v>
          </cell>
          <cell r="F75" t="str">
            <v>A1/69</v>
          </cell>
          <cell r="G75">
            <v>5047.92</v>
          </cell>
        </row>
        <row r="76">
          <cell r="B76" t="str">
            <v>A2/70</v>
          </cell>
          <cell r="C76">
            <v>5226.9399999999996</v>
          </cell>
          <cell r="F76" t="str">
            <v>A1/70</v>
          </cell>
          <cell r="G76">
            <v>5226.9399999999996</v>
          </cell>
        </row>
        <row r="77">
          <cell r="B77" t="str">
            <v>A2/71</v>
          </cell>
          <cell r="C77">
            <v>5410.68</v>
          </cell>
          <cell r="F77" t="str">
            <v>A1/71</v>
          </cell>
          <cell r="G77">
            <v>5410.68</v>
          </cell>
        </row>
        <row r="78">
          <cell r="B78" t="str">
            <v>A2/72</v>
          </cell>
          <cell r="C78">
            <v>5610.9</v>
          </cell>
          <cell r="F78" t="str">
            <v>A1/72</v>
          </cell>
          <cell r="G78">
            <v>5610.9</v>
          </cell>
        </row>
        <row r="79">
          <cell r="B79" t="str">
            <v>A2/73</v>
          </cell>
          <cell r="C79">
            <v>5813.47</v>
          </cell>
          <cell r="F79" t="str">
            <v>A1/73</v>
          </cell>
          <cell r="G79">
            <v>5813.47</v>
          </cell>
        </row>
        <row r="80">
          <cell r="B80" t="str">
            <v>A2/74</v>
          </cell>
          <cell r="C80">
            <v>6023.12</v>
          </cell>
          <cell r="F80" t="str">
            <v>A1/74</v>
          </cell>
          <cell r="G80">
            <v>6023.12</v>
          </cell>
        </row>
        <row r="81">
          <cell r="B81" t="str">
            <v>A2/75</v>
          </cell>
          <cell r="C81">
            <v>6263.38</v>
          </cell>
          <cell r="F81" t="str">
            <v>A1/75</v>
          </cell>
          <cell r="G81">
            <v>6263.38</v>
          </cell>
        </row>
        <row r="82">
          <cell r="B82" t="str">
            <v>A2/76</v>
          </cell>
          <cell r="C82">
            <v>6513.07</v>
          </cell>
          <cell r="F82" t="str">
            <v>A1/76</v>
          </cell>
          <cell r="G82">
            <v>6513.07</v>
          </cell>
        </row>
        <row r="83">
          <cell r="B83" t="str">
            <v>A2/77</v>
          </cell>
          <cell r="C83">
            <v>6774.53</v>
          </cell>
          <cell r="F83" t="str">
            <v>A1/77</v>
          </cell>
          <cell r="G83">
            <v>6774.53</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o"/>
      <sheetName val="Orçamento"/>
      <sheetName val="Composições"/>
      <sheetName val="Cálculo BDI"/>
      <sheetName val="Cronograma "/>
    </sheetNames>
    <sheetDataSet>
      <sheetData sheetId="0"/>
      <sheetData sheetId="1">
        <row r="4">
          <cell r="I4">
            <v>153618.02000000002</v>
          </cell>
        </row>
        <row r="13">
          <cell r="I13">
            <v>16834.8072986238</v>
          </cell>
        </row>
        <row r="23">
          <cell r="I23">
            <v>175387.63756000003</v>
          </cell>
        </row>
        <row r="34">
          <cell r="I34">
            <v>145016.75157000002</v>
          </cell>
        </row>
        <row r="98">
          <cell r="I98">
            <v>73286.409759999995</v>
          </cell>
        </row>
        <row r="105">
          <cell r="I105">
            <v>28321.474500000011</v>
          </cell>
        </row>
        <row r="110">
          <cell r="I110">
            <v>45040.433743699992</v>
          </cell>
        </row>
        <row r="121">
          <cell r="I121">
            <v>34294.140700000004</v>
          </cell>
        </row>
        <row r="139">
          <cell r="I139">
            <v>23950.046000000002</v>
          </cell>
        </row>
      </sheetData>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icional sobre Materiais"/>
      <sheetName val="Adicional sobre a Mão-de-Obra"/>
    </sheetNames>
    <sheetDataSet>
      <sheetData sheetId="0"/>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ENTÁRIO"/>
    </sheetNames>
    <sheetDataSet>
      <sheetData sheetId="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ENTÁRIO"/>
      <sheetName val="COMPOSIÇÕES"/>
    </sheetNames>
    <sheetDataSet>
      <sheetData sheetId="0"/>
      <sheetData sheetId="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 VIII Enc Soc A"/>
      <sheetName val="Mem Enc Soc TA"/>
      <sheetName val="Anex VIII Enc Soc A HE"/>
      <sheetName val="Mem Enc Soc TA HE"/>
      <sheetName val="Comp BDI"/>
      <sheetName val="Plan1"/>
    </sheetNames>
    <sheetDataSet>
      <sheetData sheetId="0"/>
      <sheetData sheetId="1"/>
      <sheetData sheetId="2"/>
      <sheetData sheetId="3"/>
      <sheetData sheetId="4">
        <row r="58">
          <cell r="H58">
            <v>0.30376500000000001</v>
          </cell>
        </row>
      </sheetData>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UMOS PU"/>
      <sheetName val="MODELO PU"/>
      <sheetName val="Dreno"/>
      <sheetName val="Reescavação Solo"/>
      <sheetName val="Limpeza Alturas"/>
      <sheetName val="ENFILAGEM INCO 34TD"/>
      <sheetName val="ENFILAGEM INCO 20TD"/>
      <sheetName val="Cambotas"/>
      <sheetName val="Cambotas- fornec e fabric. "/>
      <sheetName val="Cambotas- transporte"/>
      <sheetName val="Cambotas- aplicação"/>
      <sheetName val="Cambotas- base "/>
      <sheetName val="Qde Dreno"/>
      <sheetName val="Qde Recarga"/>
      <sheetName val="Qde Cambota"/>
      <sheetName val="Resumo"/>
      <sheetName val="siseng"/>
    </sheetNames>
    <sheetDataSet>
      <sheetData sheetId="0">
        <row r="6">
          <cell r="B6">
            <v>1617</v>
          </cell>
        </row>
        <row r="7">
          <cell r="B7">
            <v>1633</v>
          </cell>
        </row>
        <row r="8">
          <cell r="B8">
            <v>1637</v>
          </cell>
        </row>
        <row r="9">
          <cell r="B9">
            <v>1649</v>
          </cell>
        </row>
        <row r="10">
          <cell r="B10">
            <v>1650</v>
          </cell>
        </row>
        <row r="11">
          <cell r="B11">
            <v>1668</v>
          </cell>
        </row>
        <row r="12">
          <cell r="B12">
            <v>1673</v>
          </cell>
        </row>
        <row r="13">
          <cell r="B13">
            <v>1680</v>
          </cell>
        </row>
        <row r="14">
          <cell r="B14">
            <v>1681</v>
          </cell>
        </row>
        <row r="15">
          <cell r="B15">
            <v>1693</v>
          </cell>
        </row>
        <row r="16">
          <cell r="B16">
            <v>1698</v>
          </cell>
        </row>
        <row r="17">
          <cell r="B17">
            <v>1706</v>
          </cell>
        </row>
        <row r="18">
          <cell r="B18">
            <v>1708</v>
          </cell>
        </row>
        <row r="19">
          <cell r="B19">
            <v>1717</v>
          </cell>
        </row>
        <row r="20">
          <cell r="B20">
            <v>1720</v>
          </cell>
        </row>
        <row r="21">
          <cell r="B21">
            <v>1726</v>
          </cell>
        </row>
        <row r="22">
          <cell r="B22">
            <v>1746</v>
          </cell>
        </row>
        <row r="23">
          <cell r="B23">
            <v>1755</v>
          </cell>
        </row>
        <row r="24">
          <cell r="B24">
            <v>1757</v>
          </cell>
        </row>
        <row r="25">
          <cell r="B25">
            <v>1759</v>
          </cell>
        </row>
        <row r="26">
          <cell r="B26">
            <v>1764</v>
          </cell>
        </row>
        <row r="27">
          <cell r="B27">
            <v>1766</v>
          </cell>
        </row>
        <row r="28">
          <cell r="B28">
            <v>1767</v>
          </cell>
        </row>
        <row r="29">
          <cell r="B29">
            <v>1775</v>
          </cell>
        </row>
        <row r="30">
          <cell r="B30">
            <v>1777</v>
          </cell>
        </row>
        <row r="31">
          <cell r="B31">
            <v>1791</v>
          </cell>
        </row>
        <row r="32">
          <cell r="B32">
            <v>1803</v>
          </cell>
        </row>
        <row r="33">
          <cell r="B33">
            <v>1817</v>
          </cell>
        </row>
        <row r="34">
          <cell r="B34">
            <v>1819</v>
          </cell>
        </row>
        <row r="35">
          <cell r="B35">
            <v>1835</v>
          </cell>
        </row>
        <row r="36">
          <cell r="B36">
            <v>1840</v>
          </cell>
        </row>
        <row r="37">
          <cell r="B37">
            <v>1862</v>
          </cell>
        </row>
        <row r="38">
          <cell r="B38">
            <v>1890</v>
          </cell>
        </row>
        <row r="39">
          <cell r="B39">
            <v>10038</v>
          </cell>
        </row>
        <row r="40">
          <cell r="B40">
            <v>10054</v>
          </cell>
        </row>
        <row r="41">
          <cell r="B41">
            <v>10077</v>
          </cell>
        </row>
        <row r="42">
          <cell r="B42">
            <v>10219</v>
          </cell>
        </row>
        <row r="43">
          <cell r="B43">
            <v>10220</v>
          </cell>
        </row>
        <row r="44">
          <cell r="B44">
            <v>10313</v>
          </cell>
        </row>
        <row r="45">
          <cell r="B45">
            <v>10314</v>
          </cell>
        </row>
        <row r="46">
          <cell r="B46">
            <v>10343</v>
          </cell>
        </row>
        <row r="47">
          <cell r="B47">
            <v>10358</v>
          </cell>
        </row>
        <row r="48">
          <cell r="B48">
            <v>15308</v>
          </cell>
        </row>
        <row r="50">
          <cell r="B50">
            <v>20205</v>
          </cell>
        </row>
        <row r="51">
          <cell r="B51">
            <v>20206</v>
          </cell>
        </row>
        <row r="69">
          <cell r="B69">
            <v>33</v>
          </cell>
        </row>
        <row r="70">
          <cell r="B70">
            <v>65</v>
          </cell>
        </row>
        <row r="71">
          <cell r="B71">
            <v>95</v>
          </cell>
        </row>
        <row r="72">
          <cell r="B72">
            <v>152</v>
          </cell>
        </row>
        <row r="73">
          <cell r="B73">
            <v>189</v>
          </cell>
        </row>
        <row r="74">
          <cell r="B74">
            <v>200</v>
          </cell>
        </row>
        <row r="75">
          <cell r="B75">
            <v>1436</v>
          </cell>
        </row>
        <row r="76">
          <cell r="B76">
            <v>10022</v>
          </cell>
        </row>
        <row r="77">
          <cell r="B77">
            <v>10024</v>
          </cell>
        </row>
        <row r="78">
          <cell r="B78">
            <v>10026</v>
          </cell>
        </row>
        <row r="79">
          <cell r="B79">
            <v>10027</v>
          </cell>
        </row>
        <row r="80">
          <cell r="B80">
            <v>10028</v>
          </cell>
        </row>
        <row r="81">
          <cell r="B81">
            <v>10097</v>
          </cell>
        </row>
        <row r="82">
          <cell r="B82">
            <v>10098</v>
          </cell>
        </row>
        <row r="83">
          <cell r="B83">
            <v>10229</v>
          </cell>
        </row>
        <row r="84">
          <cell r="B84">
            <v>10230</v>
          </cell>
        </row>
        <row r="85">
          <cell r="B85">
            <v>10231</v>
          </cell>
        </row>
        <row r="86">
          <cell r="B86">
            <v>10239</v>
          </cell>
        </row>
        <row r="87">
          <cell r="B87">
            <v>10241</v>
          </cell>
        </row>
        <row r="88">
          <cell r="B88">
            <v>10249</v>
          </cell>
        </row>
        <row r="89">
          <cell r="B89">
            <v>10250</v>
          </cell>
        </row>
        <row r="90">
          <cell r="B90">
            <v>10282</v>
          </cell>
        </row>
        <row r="91">
          <cell r="B91">
            <v>10289</v>
          </cell>
        </row>
        <row r="92">
          <cell r="B92">
            <v>10291</v>
          </cell>
        </row>
        <row r="93">
          <cell r="B93">
            <v>10292</v>
          </cell>
        </row>
        <row r="94">
          <cell r="B94">
            <v>10301</v>
          </cell>
        </row>
        <row r="95">
          <cell r="B95">
            <v>10307</v>
          </cell>
        </row>
        <row r="96">
          <cell r="B96">
            <v>10330</v>
          </cell>
        </row>
        <row r="97">
          <cell r="B97">
            <v>10331</v>
          </cell>
        </row>
        <row r="98">
          <cell r="B98">
            <v>15243</v>
          </cell>
        </row>
        <row r="99">
          <cell r="B99">
            <v>15244</v>
          </cell>
        </row>
        <row r="100">
          <cell r="B100">
            <v>15245</v>
          </cell>
        </row>
        <row r="101">
          <cell r="B101">
            <v>15246</v>
          </cell>
        </row>
        <row r="102">
          <cell r="B102">
            <v>15247</v>
          </cell>
        </row>
        <row r="103">
          <cell r="B103">
            <v>15248</v>
          </cell>
        </row>
        <row r="104">
          <cell r="B104">
            <v>15262</v>
          </cell>
        </row>
        <row r="105">
          <cell r="B105">
            <v>10859</v>
          </cell>
        </row>
        <row r="107">
          <cell r="B107">
            <v>10860</v>
          </cell>
        </row>
        <row r="108">
          <cell r="B108">
            <v>10861</v>
          </cell>
        </row>
        <row r="109">
          <cell r="B109">
            <v>10862</v>
          </cell>
        </row>
        <row r="124">
          <cell r="B124">
            <v>270</v>
          </cell>
        </row>
        <row r="125">
          <cell r="B125">
            <v>740</v>
          </cell>
        </row>
        <row r="126">
          <cell r="B126">
            <v>741</v>
          </cell>
        </row>
        <row r="127">
          <cell r="B127">
            <v>1174</v>
          </cell>
        </row>
        <row r="128">
          <cell r="B128">
            <v>1191</v>
          </cell>
        </row>
        <row r="129">
          <cell r="B129">
            <v>10000</v>
          </cell>
        </row>
        <row r="130">
          <cell r="B130">
            <v>10002</v>
          </cell>
        </row>
        <row r="131">
          <cell r="B131">
            <v>10006</v>
          </cell>
        </row>
        <row r="132">
          <cell r="B132">
            <v>10010</v>
          </cell>
        </row>
        <row r="133">
          <cell r="B133">
            <v>10011</v>
          </cell>
        </row>
        <row r="134">
          <cell r="B134">
            <v>10013</v>
          </cell>
        </row>
        <row r="135">
          <cell r="B135">
            <v>10015</v>
          </cell>
        </row>
        <row r="136">
          <cell r="B136">
            <v>10016</v>
          </cell>
        </row>
        <row r="137">
          <cell r="B137">
            <v>10017</v>
          </cell>
        </row>
        <row r="138">
          <cell r="B138">
            <v>10019</v>
          </cell>
        </row>
        <row r="139">
          <cell r="B139">
            <v>10020</v>
          </cell>
        </row>
        <row r="140">
          <cell r="B140">
            <v>10021</v>
          </cell>
        </row>
        <row r="141">
          <cell r="B141">
            <v>10067</v>
          </cell>
        </row>
        <row r="142">
          <cell r="B142">
            <v>10069</v>
          </cell>
        </row>
        <row r="143">
          <cell r="B143">
            <v>10070</v>
          </cell>
        </row>
        <row r="144">
          <cell r="B144">
            <v>10071</v>
          </cell>
        </row>
        <row r="145">
          <cell r="B145">
            <v>10078</v>
          </cell>
        </row>
        <row r="146">
          <cell r="B146">
            <v>10084</v>
          </cell>
        </row>
        <row r="147">
          <cell r="B147">
            <v>10085</v>
          </cell>
        </row>
        <row r="148">
          <cell r="B148">
            <v>10138</v>
          </cell>
        </row>
        <row r="149">
          <cell r="B149">
            <v>10139</v>
          </cell>
        </row>
        <row r="150">
          <cell r="B150">
            <v>10140</v>
          </cell>
        </row>
        <row r="151">
          <cell r="B151">
            <v>10204</v>
          </cell>
        </row>
        <row r="152">
          <cell r="B152">
            <v>10208</v>
          </cell>
        </row>
        <row r="153">
          <cell r="B153">
            <v>10217</v>
          </cell>
        </row>
        <row r="154">
          <cell r="B154">
            <v>10242</v>
          </cell>
        </row>
        <row r="155">
          <cell r="B155">
            <v>10243</v>
          </cell>
        </row>
        <row r="156">
          <cell r="B156">
            <v>10244</v>
          </cell>
        </row>
        <row r="157">
          <cell r="B157">
            <v>10258</v>
          </cell>
        </row>
        <row r="158">
          <cell r="B158">
            <v>10315</v>
          </cell>
        </row>
        <row r="159">
          <cell r="B159">
            <v>10340</v>
          </cell>
        </row>
        <row r="160">
          <cell r="B160">
            <v>10345</v>
          </cell>
        </row>
        <row r="161">
          <cell r="B161">
            <v>10365</v>
          </cell>
        </row>
        <row r="162">
          <cell r="B162">
            <v>10370</v>
          </cell>
        </row>
        <row r="163">
          <cell r="B163">
            <v>15307</v>
          </cell>
        </row>
        <row r="164">
          <cell r="B164">
            <v>15309</v>
          </cell>
        </row>
        <row r="165">
          <cell r="B165">
            <v>15310</v>
          </cell>
        </row>
        <row r="167">
          <cell r="B167">
            <v>400010</v>
          </cell>
        </row>
        <row r="168">
          <cell r="B168">
            <v>400011</v>
          </cell>
        </row>
        <row r="169">
          <cell r="B169">
            <v>400012</v>
          </cell>
        </row>
        <row r="170">
          <cell r="B170">
            <v>400014</v>
          </cell>
        </row>
        <row r="171">
          <cell r="B171">
            <v>400015</v>
          </cell>
        </row>
        <row r="172">
          <cell r="B172">
            <v>400016</v>
          </cell>
        </row>
        <row r="173">
          <cell r="B173">
            <v>400017</v>
          </cell>
        </row>
        <row r="174">
          <cell r="B174">
            <v>400018</v>
          </cell>
        </row>
        <row r="175">
          <cell r="B175">
            <v>400019</v>
          </cell>
        </row>
        <row r="176">
          <cell r="B176">
            <v>400020</v>
          </cell>
        </row>
        <row r="177">
          <cell r="B177">
            <v>400021</v>
          </cell>
        </row>
        <row r="178">
          <cell r="B178">
            <v>400022</v>
          </cell>
        </row>
        <row r="179">
          <cell r="B179">
            <v>400023</v>
          </cell>
        </row>
        <row r="180">
          <cell r="B180">
            <v>400024</v>
          </cell>
        </row>
        <row r="181">
          <cell r="B181">
            <v>400025</v>
          </cell>
        </row>
        <row r="182">
          <cell r="B182">
            <v>400026</v>
          </cell>
        </row>
        <row r="183">
          <cell r="B183">
            <v>400027</v>
          </cell>
        </row>
        <row r="184">
          <cell r="B184">
            <v>400028</v>
          </cell>
        </row>
        <row r="185">
          <cell r="B185">
            <v>400029</v>
          </cell>
        </row>
        <row r="186">
          <cell r="B186">
            <v>400030</v>
          </cell>
        </row>
        <row r="187">
          <cell r="B187">
            <v>400031</v>
          </cell>
        </row>
        <row r="188">
          <cell r="B188">
            <v>400032</v>
          </cell>
        </row>
        <row r="197">
          <cell r="B197">
            <v>10118</v>
          </cell>
        </row>
        <row r="198">
          <cell r="B198">
            <v>10185</v>
          </cell>
        </row>
        <row r="199">
          <cell r="B199">
            <v>10123</v>
          </cell>
        </row>
        <row r="200">
          <cell r="B200">
            <v>10124</v>
          </cell>
        </row>
        <row r="201">
          <cell r="B201">
            <v>10125</v>
          </cell>
        </row>
        <row r="202">
          <cell r="B202">
            <v>10137</v>
          </cell>
        </row>
        <row r="203">
          <cell r="B203">
            <v>10200</v>
          </cell>
        </row>
        <row r="204">
          <cell r="B204">
            <v>10232</v>
          </cell>
        </row>
        <row r="205">
          <cell r="B205">
            <v>10236</v>
          </cell>
        </row>
        <row r="206">
          <cell r="B206">
            <v>10251</v>
          </cell>
        </row>
        <row r="207">
          <cell r="B207">
            <v>10265</v>
          </cell>
        </row>
        <row r="208">
          <cell r="B208">
            <v>10329</v>
          </cell>
        </row>
        <row r="209">
          <cell r="B209">
            <v>10347</v>
          </cell>
        </row>
        <row r="210">
          <cell r="B210">
            <v>10352</v>
          </cell>
        </row>
        <row r="211">
          <cell r="B211">
            <v>10369</v>
          </cell>
        </row>
        <row r="212">
          <cell r="B212">
            <v>10864</v>
          </cell>
        </row>
        <row r="213">
          <cell r="B213">
            <v>10209</v>
          </cell>
        </row>
        <row r="214">
          <cell r="B214">
            <v>10221</v>
          </cell>
        </row>
        <row r="215">
          <cell r="B215">
            <v>15235</v>
          </cell>
        </row>
        <row r="216">
          <cell r="B216">
            <v>15263</v>
          </cell>
        </row>
        <row r="217">
          <cell r="B217">
            <v>10271</v>
          </cell>
        </row>
        <row r="218">
          <cell r="B218">
            <v>10279</v>
          </cell>
        </row>
        <row r="219">
          <cell r="B219">
            <v>15295</v>
          </cell>
        </row>
        <row r="220">
          <cell r="B220">
            <v>15296</v>
          </cell>
        </row>
        <row r="221">
          <cell r="B221">
            <v>15301</v>
          </cell>
        </row>
        <row r="222">
          <cell r="B222">
            <v>15302</v>
          </cell>
        </row>
        <row r="223">
          <cell r="B223">
            <v>15303</v>
          </cell>
        </row>
        <row r="224">
          <cell r="B224">
            <v>15304</v>
          </cell>
        </row>
        <row r="225">
          <cell r="B225">
            <v>15305</v>
          </cell>
        </row>
        <row r="226">
          <cell r="B226">
            <v>10348</v>
          </cell>
        </row>
        <row r="227">
          <cell r="B227">
            <v>10351</v>
          </cell>
        </row>
        <row r="228">
          <cell r="B228">
            <v>10356</v>
          </cell>
        </row>
        <row r="229">
          <cell r="B229">
            <v>15298</v>
          </cell>
        </row>
        <row r="230">
          <cell r="B230">
            <v>15299</v>
          </cell>
        </row>
        <row r="231">
          <cell r="B231">
            <v>15300</v>
          </cell>
        </row>
        <row r="232">
          <cell r="B232">
            <v>15343</v>
          </cell>
        </row>
        <row r="239">
          <cell r="B239">
            <v>15344</v>
          </cell>
        </row>
        <row r="240">
          <cell r="B240">
            <v>15345</v>
          </cell>
        </row>
        <row r="241">
          <cell r="B241">
            <v>15346</v>
          </cell>
        </row>
        <row r="242">
          <cell r="B242">
            <v>15347</v>
          </cell>
        </row>
        <row r="243">
          <cell r="B243">
            <v>15366</v>
          </cell>
        </row>
        <row r="244">
          <cell r="B244">
            <v>300010</v>
          </cell>
        </row>
        <row r="245">
          <cell r="B245">
            <v>300011</v>
          </cell>
        </row>
        <row r="253">
          <cell r="B253">
            <v>38</v>
          </cell>
        </row>
        <row r="254">
          <cell r="B254">
            <v>67</v>
          </cell>
        </row>
        <row r="255">
          <cell r="B255">
            <v>110</v>
          </cell>
        </row>
        <row r="256">
          <cell r="B256">
            <v>199</v>
          </cell>
        </row>
        <row r="257">
          <cell r="B257">
            <v>452</v>
          </cell>
        </row>
        <row r="258">
          <cell r="B258">
            <v>528</v>
          </cell>
        </row>
        <row r="259">
          <cell r="B259">
            <v>537</v>
          </cell>
        </row>
        <row r="260">
          <cell r="B260">
            <v>812</v>
          </cell>
        </row>
        <row r="261">
          <cell r="B261">
            <v>839</v>
          </cell>
        </row>
        <row r="262">
          <cell r="B262">
            <v>840</v>
          </cell>
        </row>
        <row r="263">
          <cell r="B263">
            <v>852</v>
          </cell>
        </row>
        <row r="264">
          <cell r="B264">
            <v>858</v>
          </cell>
        </row>
        <row r="265">
          <cell r="B265">
            <v>859</v>
          </cell>
        </row>
        <row r="266">
          <cell r="B266">
            <v>860</v>
          </cell>
        </row>
        <row r="267">
          <cell r="B267">
            <v>861</v>
          </cell>
        </row>
        <row r="268">
          <cell r="B268">
            <v>862</v>
          </cell>
        </row>
        <row r="269">
          <cell r="B269">
            <v>863</v>
          </cell>
        </row>
        <row r="270">
          <cell r="B270">
            <v>864</v>
          </cell>
        </row>
        <row r="271">
          <cell r="B271">
            <v>865</v>
          </cell>
        </row>
        <row r="272">
          <cell r="B272">
            <v>866</v>
          </cell>
        </row>
        <row r="273">
          <cell r="B273">
            <v>867</v>
          </cell>
        </row>
        <row r="274">
          <cell r="B274">
            <v>868</v>
          </cell>
        </row>
        <row r="275">
          <cell r="B275">
            <v>869</v>
          </cell>
        </row>
        <row r="276">
          <cell r="B276">
            <v>870</v>
          </cell>
        </row>
        <row r="277">
          <cell r="B277">
            <v>871</v>
          </cell>
        </row>
        <row r="278">
          <cell r="B278">
            <v>872</v>
          </cell>
        </row>
        <row r="279">
          <cell r="B279">
            <v>873</v>
          </cell>
        </row>
        <row r="280">
          <cell r="B280">
            <v>885</v>
          </cell>
        </row>
        <row r="281">
          <cell r="B281">
            <v>886</v>
          </cell>
        </row>
        <row r="282">
          <cell r="B282">
            <v>887</v>
          </cell>
        </row>
        <row r="283">
          <cell r="B283">
            <v>892</v>
          </cell>
        </row>
        <row r="284">
          <cell r="B284">
            <v>893</v>
          </cell>
        </row>
        <row r="286">
          <cell r="B286">
            <v>15356</v>
          </cell>
        </row>
        <row r="287">
          <cell r="B287">
            <v>15357</v>
          </cell>
        </row>
        <row r="288">
          <cell r="B288">
            <v>20000</v>
          </cell>
        </row>
        <row r="289">
          <cell r="B289">
            <v>30000</v>
          </cell>
        </row>
        <row r="290">
          <cell r="B290">
            <v>200010</v>
          </cell>
        </row>
        <row r="291">
          <cell r="B291">
            <v>200011</v>
          </cell>
        </row>
        <row r="292">
          <cell r="B292">
            <v>200015</v>
          </cell>
        </row>
        <row r="293">
          <cell r="B293">
            <v>200016</v>
          </cell>
        </row>
        <row r="299">
          <cell r="B299">
            <v>15249</v>
          </cell>
        </row>
        <row r="300">
          <cell r="B300">
            <v>15250</v>
          </cell>
        </row>
        <row r="301">
          <cell r="B301">
            <v>15251</v>
          </cell>
        </row>
        <row r="302">
          <cell r="B302">
            <v>15311</v>
          </cell>
        </row>
        <row r="303">
          <cell r="B303">
            <v>15312</v>
          </cell>
        </row>
        <row r="304">
          <cell r="B304">
            <v>15313</v>
          </cell>
        </row>
        <row r="305">
          <cell r="B305">
            <v>15314</v>
          </cell>
        </row>
        <row r="306">
          <cell r="B306">
            <v>15315</v>
          </cell>
        </row>
        <row r="307">
          <cell r="B307">
            <v>15316</v>
          </cell>
        </row>
        <row r="308">
          <cell r="B308">
            <v>15317</v>
          </cell>
        </row>
        <row r="309">
          <cell r="B309">
            <v>15318</v>
          </cell>
        </row>
        <row r="310">
          <cell r="B310">
            <v>15319</v>
          </cell>
        </row>
        <row r="311">
          <cell r="B311">
            <v>15320</v>
          </cell>
        </row>
        <row r="312">
          <cell r="B312">
            <v>15321</v>
          </cell>
        </row>
        <row r="313">
          <cell r="B313">
            <v>15322</v>
          </cell>
        </row>
        <row r="314">
          <cell r="B314">
            <v>15323</v>
          </cell>
        </row>
        <row r="315">
          <cell r="B315">
            <v>15324</v>
          </cell>
        </row>
        <row r="316">
          <cell r="B316">
            <v>15337</v>
          </cell>
        </row>
        <row r="317">
          <cell r="B317">
            <v>10842</v>
          </cell>
        </row>
        <row r="318">
          <cell r="B318">
            <v>15292</v>
          </cell>
        </row>
        <row r="319">
          <cell r="B319">
            <v>15293</v>
          </cell>
        </row>
        <row r="320">
          <cell r="B320">
            <v>15294</v>
          </cell>
        </row>
        <row r="321">
          <cell r="B321">
            <v>15306</v>
          </cell>
        </row>
        <row r="322">
          <cell r="B322">
            <v>15325</v>
          </cell>
        </row>
        <row r="323">
          <cell r="B323">
            <v>15326</v>
          </cell>
        </row>
        <row r="324">
          <cell r="B324">
            <v>15327</v>
          </cell>
        </row>
        <row r="325">
          <cell r="B325">
            <v>15328</v>
          </cell>
        </row>
        <row r="326">
          <cell r="B326">
            <v>15329</v>
          </cell>
        </row>
        <row r="327">
          <cell r="B327">
            <v>15330</v>
          </cell>
        </row>
        <row r="328">
          <cell r="B328">
            <v>15331</v>
          </cell>
        </row>
        <row r="329">
          <cell r="B329">
            <v>15332</v>
          </cell>
        </row>
        <row r="330">
          <cell r="B330">
            <v>15333</v>
          </cell>
        </row>
        <row r="331">
          <cell r="B331">
            <v>15334</v>
          </cell>
        </row>
        <row r="332">
          <cell r="B332">
            <v>15335</v>
          </cell>
        </row>
        <row r="333">
          <cell r="B333">
            <v>15336</v>
          </cell>
        </row>
        <row r="334">
          <cell r="B334">
            <v>15338</v>
          </cell>
        </row>
        <row r="335">
          <cell r="B335">
            <v>15339</v>
          </cell>
        </row>
        <row r="336">
          <cell r="B336">
            <v>15340</v>
          </cell>
        </row>
        <row r="337">
          <cell r="B337">
            <v>15341</v>
          </cell>
        </row>
        <row r="338">
          <cell r="B338">
            <v>15342</v>
          </cell>
        </row>
        <row r="339">
          <cell r="B339">
            <v>15355</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o"/>
      <sheetName val="Plan1"/>
      <sheetName val="BASE"/>
    </sheetNames>
    <sheetDataSet>
      <sheetData sheetId="0" refreshError="1"/>
      <sheetData sheetId="1" refreshError="1"/>
      <sheetData sheetId="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RES PU+PG"/>
      <sheetName val="MED. PU"/>
      <sheetName val="MED. PG"/>
      <sheetName val="QUANT PU"/>
      <sheetName val="FIS PU"/>
      <sheetName val="QUANT PG"/>
      <sheetName val="FIS PG"/>
      <sheetName val="ACUM PU"/>
      <sheetName val="ACUM PG"/>
      <sheetName val="MED.EAP Preç Unit"/>
      <sheetName val="MED.PU - Preço Unit"/>
      <sheetName val="MEMORIA CALC. REAJ."/>
      <sheetName val="MR (2)"/>
      <sheetName val="MR (3)"/>
      <sheetName val="MR (4)"/>
      <sheetName val="MR (5)"/>
      <sheetName val="MR (6)"/>
      <sheetName val="MR (7)"/>
      <sheetName val="MR (8)"/>
      <sheetName val="HIST"/>
      <sheetName val="VERBAS PU"/>
      <sheetName val="VERBAS PG"/>
      <sheetName val="A03 - INDIR"/>
    </sheetNames>
    <sheetDataSet>
      <sheetData sheetId="0" refreshError="1"/>
      <sheetData sheetId="1" refreshError="1"/>
      <sheetData sheetId="2"/>
      <sheetData sheetId="3" refreshError="1"/>
      <sheetData sheetId="4"/>
      <sheetData sheetId="5" refreshError="1"/>
      <sheetData sheetId="6"/>
      <sheetData sheetId="7" refreshError="1"/>
      <sheetData sheetId="8"/>
      <sheetData sheetId="9" refreshError="1"/>
      <sheetData sheetId="10" refreshError="1"/>
      <sheetData sheetId="1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ow r="16">
          <cell r="B16">
            <v>38657</v>
          </cell>
          <cell r="D16">
            <v>373.42</v>
          </cell>
          <cell r="H16">
            <v>316.21699999999998</v>
          </cell>
          <cell r="L16">
            <v>220.13499999999999</v>
          </cell>
          <cell r="P16">
            <v>143.018</v>
          </cell>
          <cell r="T16">
            <v>303.697</v>
          </cell>
          <cell r="X16">
            <v>201.608</v>
          </cell>
          <cell r="AB16">
            <v>678.46400000000006</v>
          </cell>
          <cell r="AF16">
            <v>178.07</v>
          </cell>
          <cell r="AJ16">
            <v>163.73500000000001</v>
          </cell>
          <cell r="AN16">
            <v>2526.31</v>
          </cell>
        </row>
        <row r="17">
          <cell r="B17">
            <v>38687</v>
          </cell>
          <cell r="D17">
            <v>375.56299999999999</v>
          </cell>
          <cell r="E17">
            <v>5.7388463392427091E-3</v>
          </cell>
          <cell r="F17">
            <v>5.7388463392427091E-3</v>
          </cell>
          <cell r="H17">
            <v>316.947</v>
          </cell>
          <cell r="I17">
            <v>2.3085412865215815E-3</v>
          </cell>
          <cell r="J17">
            <v>2.3085412865215815E-3</v>
          </cell>
          <cell r="L17">
            <v>220.46700000000001</v>
          </cell>
          <cell r="M17">
            <v>1.5081654439321746E-3</v>
          </cell>
          <cell r="N17">
            <v>1.5081654439321746E-3</v>
          </cell>
          <cell r="P17">
            <v>145.44200000000001</v>
          </cell>
          <cell r="Q17">
            <v>1.694891552112332E-2</v>
          </cell>
          <cell r="R17">
            <v>1.694891552112332E-2</v>
          </cell>
          <cell r="T17">
            <v>303.77600000000001</v>
          </cell>
          <cell r="U17">
            <v>2.6012769306249517E-4</v>
          </cell>
          <cell r="V17">
            <v>2.6012769306249517E-4</v>
          </cell>
          <cell r="X17">
            <v>201.61199999999999</v>
          </cell>
          <cell r="Y17">
            <v>1.9840482520461222E-5</v>
          </cell>
          <cell r="Z17">
            <v>1.9840482520461222E-5</v>
          </cell>
          <cell r="AB17">
            <v>663.755</v>
          </cell>
          <cell r="AC17">
            <v>-2.1679853315724973E-2</v>
          </cell>
          <cell r="AD17">
            <v>-2.1679853315724973E-2</v>
          </cell>
          <cell r="AF17">
            <v>178.072</v>
          </cell>
          <cell r="AG17">
            <v>1.123153815929534E-5</v>
          </cell>
          <cell r="AH17">
            <v>1.123153815929534E-5</v>
          </cell>
          <cell r="AJ17">
            <v>164.22800000000001</v>
          </cell>
          <cell r="AK17">
            <v>3.0109628362902097E-3</v>
          </cell>
          <cell r="AL17">
            <v>3.0109628362902097E-3</v>
          </cell>
          <cell r="AN17">
            <v>2535.4316347399999</v>
          </cell>
          <cell r="AO17">
            <v>3.6106553590018464E-3</v>
          </cell>
          <cell r="AP17">
            <v>3.6106553590018464E-3</v>
          </cell>
        </row>
        <row r="18">
          <cell r="B18">
            <v>38718</v>
          </cell>
          <cell r="D18">
            <v>375.56299999999999</v>
          </cell>
          <cell r="E18">
            <v>0</v>
          </cell>
          <cell r="F18">
            <v>5.7388463392427091E-3</v>
          </cell>
          <cell r="H18">
            <v>317.32100000000003</v>
          </cell>
          <cell r="I18">
            <v>1.1800080139583446E-3</v>
          </cell>
          <cell r="J18">
            <v>3.4912733976986132E-3</v>
          </cell>
          <cell r="L18">
            <v>220.78899999999999</v>
          </cell>
          <cell r="M18">
            <v>1.4605360439430282E-3</v>
          </cell>
          <cell r="N18">
            <v>2.970904217866277E-3</v>
          </cell>
          <cell r="P18">
            <v>145.70699999999999</v>
          </cell>
          <cell r="Q18">
            <v>1.8220321502728787E-3</v>
          </cell>
          <cell r="R18">
            <v>1.8801829140387971E-2</v>
          </cell>
          <cell r="T18">
            <v>302.49700000000001</v>
          </cell>
          <cell r="U18">
            <v>-4.2103391973032922E-3</v>
          </cell>
          <cell r="V18">
            <v>-3.9513067300631644E-3</v>
          </cell>
          <cell r="X18">
            <v>202.02500000000001</v>
          </cell>
          <cell r="Y18">
            <v>2.0484891772316605E-3</v>
          </cell>
          <cell r="Z18">
            <v>2.068370302765743E-3</v>
          </cell>
          <cell r="AB18">
            <v>684.31799999999998</v>
          </cell>
          <cell r="AC18">
            <v>3.0979804295259594E-2</v>
          </cell>
          <cell r="AD18">
            <v>8.6283133666633649E-3</v>
          </cell>
          <cell r="AF18">
            <v>178.072</v>
          </cell>
          <cell r="AG18">
            <v>0</v>
          </cell>
          <cell r="AH18">
            <v>1.123153815929534E-5</v>
          </cell>
          <cell r="AJ18">
            <v>164.49700000000001</v>
          </cell>
          <cell r="AK18">
            <v>1.6379667291814837E-3</v>
          </cell>
          <cell r="AL18">
            <v>4.6538614224203023E-3</v>
          </cell>
          <cell r="AN18">
            <v>2550.3906813799999</v>
          </cell>
          <cell r="AO18">
            <v>5.8999999980413609E-3</v>
          </cell>
          <cell r="AP18">
            <v>9.5319582236541578E-3</v>
          </cell>
        </row>
        <row r="19">
          <cell r="B19">
            <v>38749</v>
          </cell>
          <cell r="D19">
            <v>375.72</v>
          </cell>
          <cell r="E19">
            <v>4.1803905070536551E-4</v>
          </cell>
          <cell r="F19">
            <v>6.1592844518236767E-3</v>
          </cell>
          <cell r="H19">
            <v>316.76900000000001</v>
          </cell>
          <cell r="I19">
            <v>-1.7395634074014454E-3</v>
          </cell>
          <cell r="J19">
            <v>1.7456366988493066E-3</v>
          </cell>
          <cell r="L19">
            <v>221.45400000000001</v>
          </cell>
          <cell r="M19">
            <v>3.0119254129508111E-3</v>
          </cell>
          <cell r="N19">
            <v>5.9917777727305221E-3</v>
          </cell>
          <cell r="P19">
            <v>142.06299999999999</v>
          </cell>
          <cell r="Q19">
            <v>-2.5009093591934484E-2</v>
          </cell>
          <cell r="R19">
            <v>-6.6774811562181347E-3</v>
          </cell>
          <cell r="T19">
            <v>302.77800000000002</v>
          </cell>
          <cell r="U19">
            <v>9.2893483241152097E-4</v>
          </cell>
          <cell r="V19">
            <v>-3.0260424041066436E-3</v>
          </cell>
          <cell r="X19">
            <v>203.16</v>
          </cell>
          <cell r="Y19">
            <v>5.618116569731324E-3</v>
          </cell>
          <cell r="Z19">
            <v>7.698107217967598E-3</v>
          </cell>
          <cell r="AB19">
            <v>689.19399999999996</v>
          </cell>
          <cell r="AC19">
            <v>7.1253423116153236E-3</v>
          </cell>
          <cell r="AD19">
            <v>1.5815135364588118E-2</v>
          </cell>
          <cell r="AF19">
            <v>178.53899999999999</v>
          </cell>
          <cell r="AG19">
            <v>2.6225347050630177E-3</v>
          </cell>
          <cell r="AH19">
            <v>2.6337956983208954E-3</v>
          </cell>
          <cell r="AJ19">
            <v>164.60400000000001</v>
          </cell>
          <cell r="AK19">
            <v>6.5046778968613772E-4</v>
          </cell>
          <cell r="AL19">
            <v>5.3073563990595485E-3</v>
          </cell>
          <cell r="AN19">
            <v>2560.8472831700001</v>
          </cell>
          <cell r="AO19">
            <v>4.0999999985658064E-3</v>
          </cell>
          <cell r="AP19">
            <v>1.3671039250923389E-2</v>
          </cell>
        </row>
        <row r="20">
          <cell r="B20">
            <v>38777</v>
          </cell>
          <cell r="D20">
            <v>376.98500000000001</v>
          </cell>
          <cell r="E20">
            <v>3.3668689449590783E-3</v>
          </cell>
          <cell r="F20">
            <v>9.5468909003266766E-3</v>
          </cell>
          <cell r="H20">
            <v>315.35300000000001</v>
          </cell>
          <cell r="I20">
            <v>-4.4701343881503597E-3</v>
          </cell>
          <cell r="J20">
            <v>-2.7323009199378134E-3</v>
          </cell>
          <cell r="L20">
            <v>221.55600000000001</v>
          </cell>
          <cell r="M20">
            <v>4.6059226746875126E-4</v>
          </cell>
          <cell r="N20">
            <v>6.4551298067097029E-3</v>
          </cell>
          <cell r="P20">
            <v>141.785</v>
          </cell>
          <cell r="Q20">
            <v>-1.9568782863940148E-3</v>
          </cell>
          <cell r="R20">
            <v>-8.621292424729754E-3</v>
          </cell>
          <cell r="T20">
            <v>294.91199999999998</v>
          </cell>
          <cell r="U20">
            <v>-2.5979430473812681E-2</v>
          </cell>
          <cell r="V20">
            <v>-2.8926858019670987E-2</v>
          </cell>
          <cell r="X20">
            <v>203.35900000000001</v>
          </cell>
          <cell r="Y20">
            <v>9.795235282537007E-4</v>
          </cell>
          <cell r="Z20">
            <v>8.6851712233642075E-3</v>
          </cell>
          <cell r="AB20">
            <v>699.26599999999996</v>
          </cell>
          <cell r="AC20">
            <v>1.4614172497148914E-2</v>
          </cell>
          <cell r="AD20">
            <v>3.0660432978020902E-2</v>
          </cell>
          <cell r="AF20">
            <v>180.303</v>
          </cell>
          <cell r="AG20">
            <v>9.880194243274687E-3</v>
          </cell>
          <cell r="AH20">
            <v>1.2540012354691932E-2</v>
          </cell>
          <cell r="AJ20">
            <v>167.244</v>
          </cell>
          <cell r="AK20">
            <v>1.6038492381716063E-2</v>
          </cell>
          <cell r="AL20">
            <v>2.1430970775948799E-2</v>
          </cell>
          <cell r="AN20">
            <v>2571.8589264799998</v>
          </cell>
          <cell r="AO20">
            <v>4.2999999970199099E-3</v>
          </cell>
          <cell r="AP20">
            <v>1.8029824716681686E-2</v>
          </cell>
        </row>
        <row r="21">
          <cell r="B21">
            <v>38808</v>
          </cell>
          <cell r="D21">
            <v>378.76600000000002</v>
          </cell>
          <cell r="E21">
            <v>4.7243259015610217E-3</v>
          </cell>
          <cell r="F21">
            <v>1.4316319425847546E-2</v>
          </cell>
          <cell r="H21">
            <v>318.89800000000002</v>
          </cell>
          <cell r="I21">
            <v>1.1241370781315041E-2</v>
          </cell>
          <cell r="J21">
            <v>8.4783550536500218E-3</v>
          </cell>
          <cell r="L21">
            <v>221.88800000000001</v>
          </cell>
          <cell r="M21">
            <v>1.4984924804564148E-3</v>
          </cell>
          <cell r="N21">
            <v>7.9632952506416554E-3</v>
          </cell>
          <cell r="P21">
            <v>141.48400000000001</v>
          </cell>
          <cell r="Q21">
            <v>-2.122932609232242E-3</v>
          </cell>
          <cell r="R21">
            <v>-1.0725922611139804E-2</v>
          </cell>
          <cell r="T21">
            <v>296.32499999999999</v>
          </cell>
          <cell r="U21">
            <v>4.791259765625E-3</v>
          </cell>
          <cell r="V21">
            <v>-2.4274194345021538E-2</v>
          </cell>
          <cell r="X21">
            <v>207.215</v>
          </cell>
          <cell r="Y21">
            <v>1.896154092024438E-2</v>
          </cell>
          <cell r="Z21">
            <v>2.781139637315988E-2</v>
          </cell>
          <cell r="AB21">
            <v>695.65200000000004</v>
          </cell>
          <cell r="AC21">
            <v>-5.1682764498772737E-3</v>
          </cell>
          <cell r="AD21">
            <v>2.5333694934440043E-2</v>
          </cell>
          <cell r="AF21">
            <v>182.19300000000001</v>
          </cell>
          <cell r="AG21">
            <v>1.0482354702916918E-2</v>
          </cell>
          <cell r="AH21">
            <v>2.3153815915089693E-2</v>
          </cell>
          <cell r="AJ21">
            <v>168.06299999999999</v>
          </cell>
          <cell r="AK21">
            <v>4.8970366649923047E-3</v>
          </cell>
          <cell r="AL21">
            <v>2.6432955690597559E-2</v>
          </cell>
          <cell r="AN21">
            <v>2577.2598302199999</v>
          </cell>
          <cell r="AO21">
            <v>2.0999999978195127E-3</v>
          </cell>
          <cell r="AP21">
            <v>2.0167687346366758E-2</v>
          </cell>
        </row>
        <row r="22">
          <cell r="B22">
            <v>38838</v>
          </cell>
          <cell r="D22">
            <v>387.85899999999998</v>
          </cell>
          <cell r="E22">
            <v>2.4006906638927461E-2</v>
          </cell>
          <cell r="F22">
            <v>3.8666916608644408E-2</v>
          </cell>
          <cell r="H22">
            <v>328.54700000000003</v>
          </cell>
          <cell r="I22">
            <v>3.0257323658348545E-2</v>
          </cell>
          <cell r="J22">
            <v>3.8992211044947211E-2</v>
          </cell>
          <cell r="L22">
            <v>222.48500000000001</v>
          </cell>
          <cell r="M22">
            <v>2.6905465820594721E-3</v>
          </cell>
          <cell r="N22">
            <v>1.0675267449519632E-2</v>
          </cell>
          <cell r="P22">
            <v>144.03800000000001</v>
          </cell>
          <cell r="Q22">
            <v>1.8051511124932862E-2</v>
          </cell>
          <cell r="R22">
            <v>7.1319694024529756E-3</v>
          </cell>
          <cell r="T22">
            <v>296.42599999999999</v>
          </cell>
          <cell r="U22">
            <v>3.4084198093320417E-4</v>
          </cell>
          <cell r="V22">
            <v>-2.3941626028574636E-2</v>
          </cell>
          <cell r="X22">
            <v>206.05500000000001</v>
          </cell>
          <cell r="Y22">
            <v>-5.5980503341939158E-3</v>
          </cell>
          <cell r="Z22">
            <v>2.2057656442204587E-2</v>
          </cell>
          <cell r="AB22">
            <v>698.09500000000003</v>
          </cell>
          <cell r="AC22">
            <v>3.5118133779532545E-3</v>
          </cell>
          <cell r="AD22">
            <v>2.8934475521177117E-2</v>
          </cell>
          <cell r="AF22">
            <v>184.36099999999999</v>
          </cell>
          <cell r="AG22">
            <v>1.1899469244152971E-2</v>
          </cell>
          <cell r="AH22">
            <v>3.5328803279609078E-2</v>
          </cell>
          <cell r="AJ22">
            <v>168.21899999999999</v>
          </cell>
          <cell r="AK22">
            <v>9.282233448171251E-4</v>
          </cell>
          <cell r="AL22">
            <v>2.7385714721959165E-2</v>
          </cell>
          <cell r="AN22">
            <v>2579.8370900499999</v>
          </cell>
          <cell r="AO22">
            <v>9.9999999991462474E-4</v>
          </cell>
          <cell r="AP22">
            <v>2.1187855033626191E-2</v>
          </cell>
        </row>
        <row r="23">
          <cell r="B23">
            <v>38869</v>
          </cell>
          <cell r="D23">
            <v>392.983</v>
          </cell>
          <cell r="E23">
            <v>1.3210986466731578E-2</v>
          </cell>
          <cell r="F23">
            <v>5.2388731187402948E-2</v>
          </cell>
          <cell r="H23">
            <v>330.56200000000001</v>
          </cell>
          <cell r="I23">
            <v>6.1330646756780904E-3</v>
          </cell>
          <cell r="J23">
            <v>4.5364417472811391E-2</v>
          </cell>
          <cell r="L23">
            <v>223.05699999999999</v>
          </cell>
          <cell r="M23">
            <v>2.5709598399890066E-3</v>
          </cell>
          <cell r="N23">
            <v>1.327367297340265E-2</v>
          </cell>
          <cell r="P23">
            <v>146.17699999999999</v>
          </cell>
          <cell r="Q23">
            <v>1.4850247851261322E-2</v>
          </cell>
          <cell r="R23">
            <v>2.2088128767008275E-2</v>
          </cell>
          <cell r="T23">
            <v>293.12700000000001</v>
          </cell>
          <cell r="U23">
            <v>-1.1129253169425035E-2</v>
          </cell>
          <cell r="V23">
            <v>-3.4804426780639885E-2</v>
          </cell>
          <cell r="X23">
            <v>206.346</v>
          </cell>
          <cell r="Y23">
            <v>1.4122443037052346E-3</v>
          </cell>
          <cell r="Z23">
            <v>2.3501051545573581E-2</v>
          </cell>
          <cell r="AB23">
            <v>693.32899999999995</v>
          </cell>
          <cell r="AC23">
            <v>-6.827151032452683E-3</v>
          </cell>
          <cell r="AD23">
            <v>2.1909784454296588E-2</v>
          </cell>
          <cell r="AF23">
            <v>184.363</v>
          </cell>
          <cell r="AG23">
            <v>1.0848281360997802E-5</v>
          </cell>
          <cell r="AH23">
            <v>3.5340034817768373E-2</v>
          </cell>
          <cell r="AJ23">
            <v>168.76599999999999</v>
          </cell>
          <cell r="AK23">
            <v>3.2517135400875752E-3</v>
          </cell>
          <cell r="AL23">
            <v>3.0726478761413212E-2</v>
          </cell>
          <cell r="AN23">
            <v>2574.4194321599998</v>
          </cell>
          <cell r="AO23">
            <v>-2.1000000003469355E-3</v>
          </cell>
          <cell r="AP23">
            <v>1.9043360537701171E-2</v>
          </cell>
        </row>
        <row r="24">
          <cell r="B24">
            <v>38899</v>
          </cell>
          <cell r="D24">
            <v>395.81200000000001</v>
          </cell>
          <cell r="E24">
            <v>7.1987846802532562E-3</v>
          </cell>
          <cell r="F24">
            <v>5.9964651063145968E-2</v>
          </cell>
          <cell r="H24">
            <v>330.09199999999998</v>
          </cell>
          <cell r="I24">
            <v>-1.4218210199600234E-3</v>
          </cell>
          <cell r="J24">
            <v>4.3878096370530306E-2</v>
          </cell>
          <cell r="L24">
            <v>223.262</v>
          </cell>
          <cell r="M24">
            <v>9.1904759769922961E-4</v>
          </cell>
          <cell r="N24">
            <v>1.4204919708360908E-2</v>
          </cell>
          <cell r="P24">
            <v>144.38499999999999</v>
          </cell>
          <cell r="Q24">
            <v>-1.2259110530384421E-2</v>
          </cell>
          <cell r="R24">
            <v>9.5582374246596657E-3</v>
          </cell>
          <cell r="T24">
            <v>293.15899999999999</v>
          </cell>
          <cell r="U24">
            <v>1.091676986424428E-4</v>
          </cell>
          <cell r="V24">
            <v>-3.4699058601171617E-2</v>
          </cell>
          <cell r="X24">
            <v>202.25700000000001</v>
          </cell>
          <cell r="Y24">
            <v>-1.9816230990666206E-2</v>
          </cell>
          <cell r="Z24">
            <v>3.2191182889567127E-3</v>
          </cell>
          <cell r="AB24">
            <v>693.05799999999999</v>
          </cell>
          <cell r="AC24">
            <v>-3.9086782753927629E-4</v>
          </cell>
          <cell r="AD24">
            <v>2.1510352796905829E-2</v>
          </cell>
          <cell r="AF24">
            <v>185.524</v>
          </cell>
          <cell r="AG24">
            <v>6.2973590145527503E-3</v>
          </cell>
          <cell r="AH24">
            <v>4.1859942719155496E-2</v>
          </cell>
          <cell r="AJ24">
            <v>168.43199999999999</v>
          </cell>
          <cell r="AK24">
            <v>-1.9790716139507225E-3</v>
          </cell>
          <cell r="AL24">
            <v>2.8686597245549006E-2</v>
          </cell>
          <cell r="AN24">
            <v>2579.3108290800001</v>
          </cell>
          <cell r="AO24">
            <v>1.8999999995712447E-3</v>
          </cell>
          <cell r="AP24">
            <v>2.0979542922285876E-2</v>
          </cell>
        </row>
        <row r="25">
          <cell r="B25">
            <v>38930</v>
          </cell>
          <cell r="D25">
            <v>396.38299999999998</v>
          </cell>
          <cell r="E25">
            <v>1.4426040645558746E-3</v>
          </cell>
          <cell r="F25">
            <v>6.149376037705534E-2</v>
          </cell>
          <cell r="H25">
            <v>332.61599999999999</v>
          </cell>
          <cell r="I25">
            <v>7.6463531379131755E-3</v>
          </cell>
          <cell r="J25">
            <v>5.1859956928311801E-2</v>
          </cell>
          <cell r="L25">
            <v>223.68600000000001</v>
          </cell>
          <cell r="M25">
            <v>1.8991140453816779E-3</v>
          </cell>
          <cell r="N25">
            <v>1.6131010516274191E-2</v>
          </cell>
          <cell r="P25">
            <v>143.59200000000001</v>
          </cell>
          <cell r="Q25">
            <v>-5.4922602763443074E-3</v>
          </cell>
          <cell r="R25">
            <v>4.0134808205960493E-3</v>
          </cell>
          <cell r="T25">
            <v>292.49900000000002</v>
          </cell>
          <cell r="U25">
            <v>-2.2513380111133241E-3</v>
          </cell>
          <cell r="V25">
            <v>-3.6872277302706258E-2</v>
          </cell>
          <cell r="X25">
            <v>207.54599999999999</v>
          </cell>
          <cell r="Y25">
            <v>2.6149898396594429E-2</v>
          </cell>
          <cell r="Z25">
            <v>2.945319630173393E-2</v>
          </cell>
          <cell r="AB25">
            <v>699.11500000000001</v>
          </cell>
          <cell r="AC25">
            <v>8.7395282934472629E-3</v>
          </cell>
          <cell r="AD25">
            <v>3.0437871427223762E-2</v>
          </cell>
          <cell r="AF25">
            <v>184.821</v>
          </cell>
          <cell r="AG25">
            <v>-3.789267156809939E-3</v>
          </cell>
          <cell r="AH25">
            <v>3.7912057056213921E-2</v>
          </cell>
          <cell r="AJ25">
            <v>168.81800000000001</v>
          </cell>
          <cell r="AK25">
            <v>2.2917260378076953E-3</v>
          </cell>
          <cell r="AL25">
            <v>3.1044065105200414E-2</v>
          </cell>
          <cell r="AN25">
            <v>2580.5700000000002</v>
          </cell>
          <cell r="AO25">
            <v>4.8818114738402585E-4</v>
          </cell>
          <cell r="AP25">
            <v>2.1477965887005235E-2</v>
          </cell>
        </row>
        <row r="26">
          <cell r="B26">
            <v>38961</v>
          </cell>
          <cell r="D26">
            <v>396.54899999999998</v>
          </cell>
          <cell r="E26">
            <v>4.187868803657846E-4</v>
          </cell>
          <cell r="F26">
            <v>6.1938300037491123E-2</v>
          </cell>
          <cell r="H26">
            <v>332.911</v>
          </cell>
          <cell r="I26">
            <v>8.8690862736617859E-4</v>
          </cell>
          <cell r="J26">
            <v>5.2792860598892544E-2</v>
          </cell>
          <cell r="L26">
            <v>223.80699999999999</v>
          </cell>
          <cell r="M26">
            <v>5.4093684897571492E-4</v>
          </cell>
          <cell r="N26">
            <v>1.6680673223249398E-2</v>
          </cell>
          <cell r="P26">
            <v>144.18600000000001</v>
          </cell>
          <cell r="Q26">
            <v>4.1367207086744351E-3</v>
          </cell>
          <cell r="R26">
            <v>8.166804178495024E-3</v>
          </cell>
          <cell r="T26">
            <v>290.76400000000001</v>
          </cell>
          <cell r="U26">
            <v>-5.9316442107494316E-3</v>
          </cell>
          <cell r="V26">
            <v>-4.258520828325596E-2</v>
          </cell>
          <cell r="X26">
            <v>208.202</v>
          </cell>
          <cell r="Y26">
            <v>3.1607450878359256E-3</v>
          </cell>
          <cell r="Z26">
            <v>3.2707035435101783E-2</v>
          </cell>
          <cell r="AB26">
            <v>693.875</v>
          </cell>
          <cell r="AC26">
            <v>-7.4951903477968873E-3</v>
          </cell>
          <cell r="AD26">
            <v>2.2714543439298129E-2</v>
          </cell>
          <cell r="AF26">
            <v>186.87100000000001</v>
          </cell>
          <cell r="AG26">
            <v>1.1091813159760155E-2</v>
          </cell>
          <cell r="AH26">
            <v>4.9424383669343541E-2</v>
          </cell>
          <cell r="AJ26">
            <v>168.81800000000001</v>
          </cell>
          <cell r="AK26">
            <v>0</v>
          </cell>
          <cell r="AL26">
            <v>3.1044065105200414E-2</v>
          </cell>
          <cell r="AN26">
            <v>2585.9899999999998</v>
          </cell>
          <cell r="AO26">
            <v>2.1003111715627298E-3</v>
          </cell>
          <cell r="AP26">
            <v>2.3623387470262935E-2</v>
          </cell>
        </row>
        <row r="27">
          <cell r="B27">
            <v>38991</v>
          </cell>
          <cell r="D27">
            <v>395.70499999999998</v>
          </cell>
          <cell r="E27">
            <v>-2.1283624470115337E-3</v>
          </cell>
          <cell r="F27">
            <v>5.9678110438648124E-2</v>
          </cell>
          <cell r="H27">
            <v>333.93900000000002</v>
          </cell>
          <cell r="I27">
            <v>3.0879123849918422E-3</v>
          </cell>
          <cell r="J27">
            <v>5.60437927119668E-2</v>
          </cell>
          <cell r="L27">
            <v>224.465</v>
          </cell>
          <cell r="M27">
            <v>2.9400331535653912E-3</v>
          </cell>
          <cell r="N27">
            <v>1.9669748109114815E-2</v>
          </cell>
          <cell r="P27">
            <v>143.68600000000001</v>
          </cell>
          <cell r="Q27">
            <v>-3.4677430541106835E-3</v>
          </cell>
          <cell r="R27">
            <v>4.67074074592011E-3</v>
          </cell>
          <cell r="T27">
            <v>291.488</v>
          </cell>
          <cell r="U27">
            <v>2.4899918834517809E-3</v>
          </cell>
          <cell r="V27">
            <v>-4.0201253222784561E-2</v>
          </cell>
          <cell r="X27">
            <v>209.339</v>
          </cell>
          <cell r="Y27">
            <v>5.4610426412811108E-3</v>
          </cell>
          <cell r="Z27">
            <v>3.8346692591563869E-2</v>
          </cell>
          <cell r="AB27">
            <v>679.37800000000004</v>
          </cell>
          <cell r="AC27">
            <v>-2.089281210592675E-2</v>
          </cell>
          <cell r="AD27">
            <v>1.3471606452222229E-3</v>
          </cell>
          <cell r="AF27">
            <v>186.87100000000001</v>
          </cell>
          <cell r="AG27">
            <v>0</v>
          </cell>
          <cell r="AH27">
            <v>4.9424383669343541E-2</v>
          </cell>
          <cell r="AJ27">
            <v>168.995</v>
          </cell>
          <cell r="AK27">
            <v>1.0484663957635032E-3</v>
          </cell>
          <cell r="AL27">
            <v>3.2125080160014585E-2</v>
          </cell>
          <cell r="AN27">
            <v>2594.52</v>
          </cell>
          <cell r="AO27">
            <v>3.2985433044985246E-3</v>
          </cell>
          <cell r="AP27">
            <v>2.6999853541330943E-2</v>
          </cell>
        </row>
        <row r="28">
          <cell r="B28">
            <v>39022</v>
          </cell>
          <cell r="D28">
            <v>397.178</v>
          </cell>
          <cell r="E28">
            <v>3.7224700218596585E-3</v>
          </cell>
          <cell r="F28">
            <v>6.3622730437576935E-2</v>
          </cell>
          <cell r="H28">
            <v>336.64699999999999</v>
          </cell>
          <cell r="I28">
            <v>8.1092654646506279E-3</v>
          </cell>
          <cell r="J28">
            <v>6.4607532169364656E-2</v>
          </cell>
          <cell r="L28">
            <v>225.547</v>
          </cell>
          <cell r="M28">
            <v>4.8203506114539163E-3</v>
          </cell>
          <cell r="N28">
            <v>2.4584913802893738E-2</v>
          </cell>
          <cell r="P28">
            <v>144.61000000000001</v>
          </cell>
          <cell r="Q28">
            <v>6.4306891416003875E-3</v>
          </cell>
          <cell r="R28">
            <v>1.1131465969318688E-2</v>
          </cell>
          <cell r="T28">
            <v>289.827</v>
          </cell>
          <cell r="U28">
            <v>-5.6983477879021249E-3</v>
          </cell>
          <cell r="V28">
            <v>-4.5670520288313643E-2</v>
          </cell>
          <cell r="X28">
            <v>205.41200000000001</v>
          </cell>
          <cell r="Y28">
            <v>-1.8759046331548346E-2</v>
          </cell>
          <cell r="Z28">
            <v>1.8868298877028788E-2</v>
          </cell>
          <cell r="AB28">
            <v>672.23800000000006</v>
          </cell>
          <cell r="AC28">
            <v>-1.0509613205019863E-2</v>
          </cell>
          <cell r="AD28">
            <v>-9.1766106971040706E-3</v>
          </cell>
          <cell r="AF28">
            <v>186.98400000000001</v>
          </cell>
          <cell r="AG28">
            <v>6.0469521755646127E-4</v>
          </cell>
          <cell r="AH28">
            <v>5.0058965575335623E-2</v>
          </cell>
          <cell r="AJ28">
            <v>169.167</v>
          </cell>
          <cell r="AK28">
            <v>1.017781591171385E-3</v>
          </cell>
          <cell r="AL28">
            <v>3.3175558066387723E-2</v>
          </cell>
          <cell r="AN28">
            <v>2601.5940380000002</v>
          </cell>
          <cell r="AO28">
            <v>2.72653053358618E-3</v>
          </cell>
          <cell r="AP28">
            <v>2.9800000000000049E-2</v>
          </cell>
        </row>
        <row r="29">
          <cell r="B29">
            <v>39052</v>
          </cell>
          <cell r="D29">
            <v>398.17200000000003</v>
          </cell>
          <cell r="E29">
            <v>2.502656239771639E-3</v>
          </cell>
          <cell r="F29">
            <v>6.6284612500669526E-2</v>
          </cell>
          <cell r="H29">
            <v>336.47899999999998</v>
          </cell>
          <cell r="I29">
            <v>-4.9903905277637328E-4</v>
          </cell>
          <cell r="J29">
            <v>6.4076251434932452E-2</v>
          </cell>
          <cell r="L29">
            <v>226.02699999999999</v>
          </cell>
          <cell r="M29">
            <v>2.1281595410269638E-3</v>
          </cell>
          <cell r="N29">
            <v>2.6765393962795647E-2</v>
          </cell>
          <cell r="P29">
            <v>144.68199999999999</v>
          </cell>
          <cell r="Q29">
            <v>4.9789087891549677E-4</v>
          </cell>
          <cell r="R29">
            <v>1.1634899103609264E-2</v>
          </cell>
          <cell r="T29">
            <v>289.827</v>
          </cell>
          <cell r="U29">
            <v>0</v>
          </cell>
          <cell r="V29">
            <v>-4.5670520288313643E-2</v>
          </cell>
          <cell r="X29">
            <v>206.64400000000001</v>
          </cell>
          <cell r="Y29">
            <v>5.9977021790353913E-3</v>
          </cell>
          <cell r="Z29">
            <v>2.4979167493353494E-2</v>
          </cell>
          <cell r="AB29">
            <v>675.97400000000005</v>
          </cell>
          <cell r="AC29">
            <v>5.5575555086144757E-3</v>
          </cell>
          <cell r="AD29">
            <v>-3.6700547118196925E-3</v>
          </cell>
          <cell r="AF29">
            <v>189.137</v>
          </cell>
          <cell r="AG29">
            <v>1.1514354169340546E-2</v>
          </cell>
          <cell r="AH29">
            <v>6.2149716403661515E-2</v>
          </cell>
          <cell r="AJ29">
            <v>169.19399999999999</v>
          </cell>
          <cell r="AK29">
            <v>1.5960559683625419E-4</v>
          </cell>
          <cell r="AL29">
            <v>3.334045866796953E-2</v>
          </cell>
          <cell r="AN29">
            <v>2615.0500000000002</v>
          </cell>
          <cell r="AO29">
            <v>5.1721989685771241E-3</v>
          </cell>
          <cell r="AP29">
            <v>3.5126330497840863E-2</v>
          </cell>
        </row>
        <row r="30">
          <cell r="B30">
            <v>39083</v>
          </cell>
          <cell r="D30">
            <v>399.43700000000001</v>
          </cell>
          <cell r="E30">
            <v>3.1770189767235113E-3</v>
          </cell>
          <cell r="F30">
            <v>6.9672218949172526E-2</v>
          </cell>
          <cell r="H30">
            <v>333.83699999999999</v>
          </cell>
          <cell r="I30">
            <v>-7.8519016045577317E-3</v>
          </cell>
          <cell r="J30">
            <v>5.572122940891866E-2</v>
          </cell>
          <cell r="L30">
            <v>227.38300000000001</v>
          </cell>
          <cell r="M30">
            <v>5.9992832714677036E-3</v>
          </cell>
          <cell r="N30">
            <v>3.2925250414518548E-2</v>
          </cell>
          <cell r="P30">
            <v>144.226</v>
          </cell>
          <cell r="Q30">
            <v>-3.1517396773612649E-3</v>
          </cell>
          <cell r="R30">
            <v>8.4464892531010971E-3</v>
          </cell>
          <cell r="T30">
            <v>292.59199999999998</v>
          </cell>
          <cell r="U30">
            <v>9.5401739658484974E-3</v>
          </cell>
          <cell r="V30">
            <v>-3.6566051031126423E-2</v>
          </cell>
          <cell r="X30">
            <v>208.857</v>
          </cell>
          <cell r="Y30">
            <v>1.0709239077834276E-2</v>
          </cell>
          <cell r="Z30">
            <v>3.595591444783941E-2</v>
          </cell>
          <cell r="AB30">
            <v>675.18100000000004</v>
          </cell>
          <cell r="AC30">
            <v>-1.1731220431555611E-3</v>
          </cell>
          <cell r="AD30">
            <v>-4.8388713328931798E-3</v>
          </cell>
          <cell r="AF30">
            <v>189.26900000000001</v>
          </cell>
          <cell r="AG30">
            <v>6.9790680829240337E-4</v>
          </cell>
          <cell r="AH30">
            <v>6.2890997922165459E-2</v>
          </cell>
          <cell r="AJ30">
            <v>170.89400000000001</v>
          </cell>
          <cell r="AK30">
            <v>1.0047637623083583E-2</v>
          </cell>
          <cell r="AL30">
            <v>4.3723089137936322E-2</v>
          </cell>
          <cell r="AN30">
            <v>2626.56</v>
          </cell>
          <cell r="AO30">
            <v>4.4014454790537449E-3</v>
          </cell>
          <cell r="AP30">
            <v>3.9682382605460198E-2</v>
          </cell>
        </row>
        <row r="31">
          <cell r="B31">
            <v>39114</v>
          </cell>
          <cell r="D31">
            <v>399.44900000000001</v>
          </cell>
          <cell r="E31">
            <v>3.0042284515419126E-5</v>
          </cell>
          <cell r="F31">
            <v>6.9704354346312503E-2</v>
          </cell>
          <cell r="H31">
            <v>332.38099999999997</v>
          </cell>
          <cell r="I31">
            <v>-4.3614099096266346E-3</v>
          </cell>
          <cell r="J31">
            <v>5.1116796377171259E-2</v>
          </cell>
          <cell r="L31">
            <v>227.87200000000001</v>
          </cell>
          <cell r="M31">
            <v>2.1505565499619905E-3</v>
          </cell>
          <cell r="N31">
            <v>3.5146614577418411E-2</v>
          </cell>
          <cell r="P31">
            <v>143.309</v>
          </cell>
          <cell r="Q31">
            <v>-6.3580769070764598E-3</v>
          </cell>
          <cell r="R31">
            <v>2.0347089177585875E-3</v>
          </cell>
          <cell r="T31">
            <v>289.798</v>
          </cell>
          <cell r="U31">
            <v>-9.5491332640673665E-3</v>
          </cell>
          <cell r="V31">
            <v>-4.576601020095683E-2</v>
          </cell>
          <cell r="X31">
            <v>209.03899999999999</v>
          </cell>
          <cell r="Y31">
            <v>8.7140962476706108E-4</v>
          </cell>
          <cell r="Z31">
            <v>3.6858656402523726E-2</v>
          </cell>
          <cell r="AB31">
            <v>673.85199999999998</v>
          </cell>
          <cell r="AC31">
            <v>-1.9683610765114379E-3</v>
          </cell>
          <cell r="AD31">
            <v>-6.7977077634187033E-3</v>
          </cell>
          <cell r="AF31">
            <v>189.66300000000001</v>
          </cell>
          <cell r="AG31">
            <v>2.0816932514040598E-3</v>
          </cell>
          <cell r="AH31">
            <v>6.5103610939518219E-2</v>
          </cell>
          <cell r="AJ31">
            <v>170.89400000000001</v>
          </cell>
          <cell r="AK31">
            <v>0</v>
          </cell>
          <cell r="AL31">
            <v>4.3723089137936322E-2</v>
          </cell>
          <cell r="AN31">
            <v>2638.12</v>
          </cell>
          <cell r="AO31">
            <v>4.4011939571149128E-3</v>
          </cell>
          <cell r="AP31">
            <v>4.4258226425102132E-2</v>
          </cell>
        </row>
        <row r="32">
          <cell r="B32">
            <v>39142</v>
          </cell>
          <cell r="D32">
            <v>400.87099999999998</v>
          </cell>
          <cell r="E32">
            <v>3.5599037674396428E-3</v>
          </cell>
          <cell r="F32">
            <v>7.351239890739647E-2</v>
          </cell>
          <cell r="H32">
            <v>333.49599999999998</v>
          </cell>
          <cell r="I32">
            <v>3.3545840466211452E-3</v>
          </cell>
          <cell r="J32">
            <v>5.4642856013433772E-2</v>
          </cell>
          <cell r="L32">
            <v>228.02</v>
          </cell>
          <cell r="M32">
            <v>6.4948743154058519E-4</v>
          </cell>
          <cell r="N32">
            <v>3.5818929293388146E-2</v>
          </cell>
          <cell r="P32">
            <v>144.023</v>
          </cell>
          <cell r="Q32">
            <v>4.9822411711755166E-3</v>
          </cell>
          <cell r="R32">
            <v>7.0270874994755594E-3</v>
          </cell>
          <cell r="T32">
            <v>289.613</v>
          </cell>
          <cell r="U32">
            <v>-6.3837569617453127E-4</v>
          </cell>
          <cell r="V32">
            <v>-4.6375169988508325E-2</v>
          </cell>
          <cell r="X32">
            <v>211.02500000000001</v>
          </cell>
          <cell r="Y32">
            <v>9.5006195016242856E-3</v>
          </cell>
          <cell r="Z32">
            <v>4.670945597396936E-2</v>
          </cell>
          <cell r="AB32">
            <v>678.70799999999997</v>
          </cell>
          <cell r="AC32">
            <v>7.2063301733911178E-3</v>
          </cell>
          <cell r="AD32">
            <v>3.59635883407039E-4</v>
          </cell>
          <cell r="AF32">
            <v>194.57</v>
          </cell>
          <cell r="AG32">
            <v>2.5872204910815322E-2</v>
          </cell>
          <cell r="AH32">
            <v>9.2660189812994842E-2</v>
          </cell>
          <cell r="AJ32">
            <v>170.90100000000001</v>
          </cell>
          <cell r="AK32">
            <v>4.0961063583200286E-5</v>
          </cell>
          <cell r="AL32">
            <v>4.376584114575377E-2</v>
          </cell>
          <cell r="AN32">
            <v>2647.88</v>
          </cell>
          <cell r="AO32">
            <v>3.6996042636423532E-3</v>
          </cell>
          <cell r="AP32">
            <v>4.8121568611928067E-2</v>
          </cell>
        </row>
        <row r="33">
          <cell r="B33">
            <v>39173</v>
          </cell>
          <cell r="D33">
            <v>402.642</v>
          </cell>
          <cell r="E33">
            <v>4.4178800661560658E-3</v>
          </cell>
          <cell r="F33">
            <v>7.8255047935300581E-2</v>
          </cell>
          <cell r="H33">
            <v>336.93900000000002</v>
          </cell>
          <cell r="I33">
            <v>1.0323961906589796E-2</v>
          </cell>
          <cell r="J33">
            <v>6.5530948683973467E-2</v>
          </cell>
          <cell r="L33">
            <v>228.70599999999999</v>
          </cell>
          <cell r="M33">
            <v>3.0085080256117003E-3</v>
          </cell>
          <cell r="N33">
            <v>3.8935198855247988E-2</v>
          </cell>
          <cell r="P33">
            <v>143.28800000000001</v>
          </cell>
          <cell r="Q33">
            <v>-5.1033515480165548E-3</v>
          </cell>
          <cell r="R33">
            <v>1.8878742535906046E-3</v>
          </cell>
          <cell r="T33">
            <v>294.71600000000001</v>
          </cell>
          <cell r="U33">
            <v>1.7620065397616846E-2</v>
          </cell>
          <cell r="V33">
            <v>-2.9572238118914518E-2</v>
          </cell>
          <cell r="X33">
            <v>212.483</v>
          </cell>
          <cell r="Y33">
            <v>6.9091339888638359E-3</v>
          </cell>
          <cell r="Z33">
            <v>5.3941311852704343E-2</v>
          </cell>
          <cell r="AB33">
            <v>691.04700000000003</v>
          </cell>
          <cell r="AC33">
            <v>1.818013048321232E-2</v>
          </cell>
          <cell r="AD33">
            <v>1.8546304593906271E-2</v>
          </cell>
          <cell r="AF33">
            <v>194.57</v>
          </cell>
          <cell r="AG33">
            <v>0</v>
          </cell>
          <cell r="AH33">
            <v>9.2660189812994842E-2</v>
          </cell>
          <cell r="AJ33">
            <v>170.928</v>
          </cell>
          <cell r="AK33">
            <v>1.5798620253826279E-4</v>
          </cell>
          <cell r="AL33">
            <v>4.3930741747335578E-2</v>
          </cell>
          <cell r="AN33">
            <v>2654.5</v>
          </cell>
          <cell r="AO33">
            <v>2.5001132981856689E-3</v>
          </cell>
          <cell r="AP33">
            <v>5.0741991283730137E-2</v>
          </cell>
        </row>
        <row r="34">
          <cell r="B34">
            <v>39203</v>
          </cell>
          <cell r="D34">
            <v>409.92200000000003</v>
          </cell>
          <cell r="E34">
            <v>1.8080577783738505E-2</v>
          </cell>
          <cell r="F34">
            <v>9.7750522200203527E-2</v>
          </cell>
          <cell r="H34">
            <v>338.94900000000001</v>
          </cell>
          <cell r="I34">
            <v>5.9654714948402798E-3</v>
          </cell>
          <cell r="J34">
            <v>7.1887343185217834E-2</v>
          </cell>
          <cell r="L34">
            <v>228.976</v>
          </cell>
          <cell r="M34">
            <v>1.1805549482741817E-3</v>
          </cell>
          <cell r="N34">
            <v>4.0161718945192826E-2</v>
          </cell>
          <cell r="P34">
            <v>142.37700000000001</v>
          </cell>
          <cell r="Q34">
            <v>-6.3578248004020343E-3</v>
          </cell>
          <cell r="R34">
            <v>-4.4819533205610051E-3</v>
          </cell>
          <cell r="T34">
            <v>299.46499999999997</v>
          </cell>
          <cell r="U34">
            <v>1.6113818048561823E-2</v>
          </cell>
          <cell r="V34">
            <v>-1.3934941734689565E-2</v>
          </cell>
          <cell r="X34">
            <v>213.197</v>
          </cell>
          <cell r="Y34">
            <v>3.3602688215057519E-3</v>
          </cell>
          <cell r="Z34">
            <v>5.7482837982619772E-2</v>
          </cell>
          <cell r="AB34">
            <v>695.72699999999998</v>
          </cell>
          <cell r="AC34">
            <v>6.7723324173318833E-3</v>
          </cell>
          <cell r="AD34">
            <v>2.5444238751061166E-2</v>
          </cell>
          <cell r="AF34">
            <v>194.559</v>
          </cell>
          <cell r="AG34">
            <v>-5.6534923163931161E-5</v>
          </cell>
          <cell r="AH34">
            <v>9.2598416353119495E-2</v>
          </cell>
          <cell r="AJ34">
            <v>170.93299999999999</v>
          </cell>
          <cell r="AK34">
            <v>2.9252082748287833E-5</v>
          </cell>
          <cell r="AL34">
            <v>4.3961278895776612E-2</v>
          </cell>
          <cell r="AN34">
            <v>2661.93</v>
          </cell>
          <cell r="AO34">
            <v>2.799020531173424E-3</v>
          </cell>
          <cell r="AP34">
            <v>5.3683039690299195E-2</v>
          </cell>
        </row>
        <row r="35">
          <cell r="B35">
            <v>39234</v>
          </cell>
          <cell r="D35">
            <v>416.351</v>
          </cell>
          <cell r="E35">
            <v>1.5683471489698064E-2</v>
          </cell>
          <cell r="F35">
            <v>0.11496706121793143</v>
          </cell>
          <cell r="H35">
            <v>338.33600000000001</v>
          </cell>
          <cell r="I35">
            <v>-1.8085316670058971E-3</v>
          </cell>
          <cell r="J35">
            <v>6.9948800981604498E-2</v>
          </cell>
          <cell r="L35">
            <v>229.554</v>
          </cell>
          <cell r="M35">
            <v>2.5242820208231098E-3</v>
          </cell>
          <cell r="N35">
            <v>4.2787380471074554E-2</v>
          </cell>
          <cell r="P35">
            <v>141.334</v>
          </cell>
          <cell r="Q35">
            <v>-7.3256214135710707E-3</v>
          </cell>
          <cell r="R35">
            <v>-1.1774741640912301E-2</v>
          </cell>
          <cell r="T35">
            <v>298.23599999999999</v>
          </cell>
          <cell r="U35">
            <v>-4.1039854407025622E-3</v>
          </cell>
          <cell r="V35">
            <v>-1.7981738377395917E-2</v>
          </cell>
          <cell r="X35">
            <v>213.66300000000001</v>
          </cell>
          <cell r="Y35">
            <v>2.1857718448197172E-3</v>
          </cell>
          <cell r="Z35">
            <v>5.9794254196262164E-2</v>
          </cell>
          <cell r="AB35">
            <v>692.06200000000001</v>
          </cell>
          <cell r="AC35">
            <v>-5.2678708746389802E-3</v>
          </cell>
          <cell r="AD35">
            <v>2.0042330912177997E-2</v>
          </cell>
          <cell r="AF35">
            <v>195.196</v>
          </cell>
          <cell r="AG35">
            <v>3.2740711043950377E-3</v>
          </cell>
          <cell r="AH35">
            <v>9.6175661256809208E-2</v>
          </cell>
          <cell r="AJ35">
            <v>171.21</v>
          </cell>
          <cell r="AK35">
            <v>1.6205179807293746E-3</v>
          </cell>
          <cell r="AL35">
            <v>4.565303691941236E-2</v>
          </cell>
          <cell r="AN35">
            <v>2669.38</v>
          </cell>
          <cell r="AO35">
            <v>2.7987212285822682E-3</v>
          </cell>
          <cell r="AP35">
            <v>5.6632004781677736E-2</v>
          </cell>
        </row>
        <row r="36">
          <cell r="B36">
            <v>39264</v>
          </cell>
          <cell r="D36">
            <v>417.17899999999997</v>
          </cell>
          <cell r="E36">
            <v>1.9887066441535151E-3</v>
          </cell>
          <cell r="F36">
            <v>0.11718440362058802</v>
          </cell>
          <cell r="H36">
            <v>340.43599999999998</v>
          </cell>
          <cell r="I36">
            <v>6.2068476307575171E-3</v>
          </cell>
          <cell r="J36">
            <v>7.6589810162009053E-2</v>
          </cell>
          <cell r="L36">
            <v>229.99600000000001</v>
          </cell>
          <cell r="M36">
            <v>1.9254728734852122E-3</v>
          </cell>
          <cell r="N36">
            <v>4.479523928498419E-2</v>
          </cell>
          <cell r="P36">
            <v>140.71</v>
          </cell>
          <cell r="Q36">
            <v>-4.415073513804102E-3</v>
          </cell>
          <cell r="R36">
            <v>-1.6137828804765775E-2</v>
          </cell>
          <cell r="T36">
            <v>298.58699999999999</v>
          </cell>
          <cell r="U36">
            <v>1.1769202913129995E-3</v>
          </cell>
          <cell r="V36">
            <v>-1.6825981158852477E-2</v>
          </cell>
          <cell r="X36">
            <v>213.97900000000001</v>
          </cell>
          <cell r="Y36">
            <v>1.4789645376129812E-3</v>
          </cell>
          <cell r="Z36">
            <v>6.1361652315384374E-2</v>
          </cell>
          <cell r="AB36">
            <v>687.66499999999996</v>
          </cell>
          <cell r="AC36">
            <v>-6.3534770006156149E-3</v>
          </cell>
          <cell r="AD36">
            <v>1.3561515423073267E-2</v>
          </cell>
          <cell r="AF36">
            <v>195.48599999999999</v>
          </cell>
          <cell r="AG36">
            <v>1.4856861820937706E-3</v>
          </cell>
          <cell r="AH36">
            <v>9.7804234289885938E-2</v>
          </cell>
          <cell r="AJ36">
            <v>171.28</v>
          </cell>
          <cell r="AK36">
            <v>4.0885462297768349E-4</v>
          </cell>
          <cell r="AL36">
            <v>4.6080556997587507E-2</v>
          </cell>
          <cell r="AN36">
            <v>2675.79</v>
          </cell>
          <cell r="AO36">
            <v>2.4013066704626773E-3</v>
          </cell>
          <cell r="AP36">
            <v>5.9169302262984447E-2</v>
          </cell>
        </row>
        <row r="37">
          <cell r="B37">
            <v>39295</v>
          </cell>
          <cell r="D37">
            <v>418.30599999999998</v>
          </cell>
          <cell r="E37">
            <v>2.7014782623286937E-3</v>
          </cell>
          <cell r="F37">
            <v>0.12020245300198162</v>
          </cell>
          <cell r="H37">
            <v>341.60300000000001</v>
          </cell>
          <cell r="I37">
            <v>3.4279570903195111E-3</v>
          </cell>
          <cell r="J37">
            <v>8.0280313835119577E-2</v>
          </cell>
          <cell r="L37">
            <v>231.19900000000001</v>
          </cell>
          <cell r="M37">
            <v>5.2305257482738732E-3</v>
          </cell>
          <cell r="N37">
            <v>5.0260067685738319E-2</v>
          </cell>
          <cell r="P37">
            <v>142.10400000000001</v>
          </cell>
          <cell r="Q37">
            <v>9.906900717788325E-3</v>
          </cell>
          <cell r="R37">
            <v>-6.3908039547468931E-3</v>
          </cell>
          <cell r="T37">
            <v>298.80500000000001</v>
          </cell>
          <cell r="U37">
            <v>7.3010546339924431E-4</v>
          </cell>
          <cell r="V37">
            <v>-1.6108160436224206E-2</v>
          </cell>
          <cell r="X37">
            <v>214.26300000000001</v>
          </cell>
          <cell r="Y37">
            <v>1.3272330462335002E-3</v>
          </cell>
          <cell r="Z37">
            <v>6.2770326574342228E-2</v>
          </cell>
          <cell r="AB37">
            <v>689.80700000000002</v>
          </cell>
          <cell r="AC37">
            <v>3.1148887903267308E-3</v>
          </cell>
          <cell r="AD37">
            <v>1.6718646825771177E-2</v>
          </cell>
          <cell r="AF37">
            <v>195.411</v>
          </cell>
          <cell r="AG37">
            <v>-3.8365918787020004E-4</v>
          </cell>
          <cell r="AH37">
            <v>9.7383051608917803E-2</v>
          </cell>
          <cell r="AJ37">
            <v>174.488</v>
          </cell>
          <cell r="AK37">
            <v>1.8729565623540445E-2</v>
          </cell>
          <cell r="AL37">
            <v>6.5673191437383593E-2</v>
          </cell>
          <cell r="AN37">
            <v>2688.37</v>
          </cell>
          <cell r="AO37">
            <v>4.701415282963195E-3</v>
          </cell>
          <cell r="AP37">
            <v>6.414889700788895E-2</v>
          </cell>
        </row>
        <row r="38">
          <cell r="B38">
            <v>39326</v>
          </cell>
          <cell r="D38">
            <v>419.39299999999997</v>
          </cell>
          <cell r="E38">
            <v>2.5985761619484737E-3</v>
          </cell>
          <cell r="F38">
            <v>0.12311338439290864</v>
          </cell>
          <cell r="H38">
            <v>343.61</v>
          </cell>
          <cell r="I38">
            <v>5.875241142495824E-3</v>
          </cell>
          <cell r="J38">
            <v>8.6627221180392011E-2</v>
          </cell>
          <cell r="L38">
            <v>232.34</v>
          </cell>
          <cell r="M38">
            <v>4.935142453038166E-3</v>
          </cell>
          <cell r="N38">
            <v>5.5443250732505112E-2</v>
          </cell>
          <cell r="P38">
            <v>141.46199999999999</v>
          </cell>
          <cell r="Q38">
            <v>-4.5178179361595738E-3</v>
          </cell>
          <cell r="R38">
            <v>-1.0879749402173289E-2</v>
          </cell>
          <cell r="T38">
            <v>298.84500000000003</v>
          </cell>
          <cell r="U38">
            <v>1.3386656849800893E-4</v>
          </cell>
          <cell r="V38">
            <v>-1.597645021188876E-2</v>
          </cell>
          <cell r="X38">
            <v>214.42</v>
          </cell>
          <cell r="Y38">
            <v>7.3274433756642665E-4</v>
          </cell>
          <cell r="Z38">
            <v>6.3549065513273106E-2</v>
          </cell>
          <cell r="AB38">
            <v>693.54899999999998</v>
          </cell>
          <cell r="AC38">
            <v>5.4247057510288244E-3</v>
          </cell>
          <cell r="AD38">
            <v>2.2234046316385037E-2</v>
          </cell>
          <cell r="AF38">
            <v>195.48599999999999</v>
          </cell>
          <cell r="AG38">
            <v>3.8380643873670017E-4</v>
          </cell>
          <cell r="AH38">
            <v>9.7804234289885938E-2</v>
          </cell>
          <cell r="AJ38">
            <v>175.483</v>
          </cell>
          <cell r="AK38">
            <v>5.7023978726331581E-3</v>
          </cell>
          <cell r="AL38">
            <v>7.1750083977158097E-2</v>
          </cell>
          <cell r="AN38">
            <v>2693.21</v>
          </cell>
          <cell r="AO38">
            <v>1.800347422415971E-3</v>
          </cell>
          <cell r="AP38">
            <v>6.6064734731683838E-2</v>
          </cell>
        </row>
        <row r="39">
          <cell r="B39">
            <v>39356</v>
          </cell>
          <cell r="D39">
            <v>419.84899999999999</v>
          </cell>
          <cell r="E39">
            <v>1.0872856723884716E-3</v>
          </cell>
          <cell r="F39">
            <v>0.12433452948422685</v>
          </cell>
          <cell r="H39">
            <v>347.661</v>
          </cell>
          <cell r="I39">
            <v>1.1789528826285478E-2</v>
          </cell>
          <cell r="J39">
            <v>9.9438044127924785E-2</v>
          </cell>
          <cell r="L39">
            <v>231.94499999999999</v>
          </cell>
          <cell r="M39">
            <v>-1.7000946888181545E-3</v>
          </cell>
          <cell r="N39">
            <v>5.3648897267585705E-2</v>
          </cell>
          <cell r="P39">
            <v>139.57300000000001</v>
          </cell>
          <cell r="Q39">
            <v>-1.3353409396162808E-2</v>
          </cell>
          <cell r="R39">
            <v>-2.4087877050441131E-2</v>
          </cell>
          <cell r="T39">
            <v>298.89800000000002</v>
          </cell>
          <cell r="U39">
            <v>1.7734946209579938E-4</v>
          </cell>
          <cell r="V39">
            <v>-1.580193416464426E-2</v>
          </cell>
          <cell r="X39">
            <v>215.42400000000001</v>
          </cell>
          <cell r="Y39">
            <v>4.6823990299413865E-3</v>
          </cell>
          <cell r="Z39">
            <v>6.8529026625927525E-2</v>
          </cell>
          <cell r="AB39">
            <v>692.69399999999996</v>
          </cell>
          <cell r="AC39">
            <v>-1.2327896082324763E-3</v>
          </cell>
          <cell r="AD39">
            <v>2.097384680690495E-2</v>
          </cell>
          <cell r="AF39">
            <v>195.85400000000001</v>
          </cell>
          <cell r="AG39">
            <v>1.8824877484833191E-3</v>
          </cell>
          <cell r="AH39">
            <v>9.9870837311169858E-2</v>
          </cell>
          <cell r="AJ39">
            <v>178.31700000000001</v>
          </cell>
          <cell r="AK39">
            <v>1.6149712507764313E-2</v>
          </cell>
          <cell r="AL39">
            <v>8.905853971356148E-2</v>
          </cell>
          <cell r="AN39">
            <v>2701.29</v>
          </cell>
          <cell r="AO39">
            <v>3.0001373825285782E-3</v>
          </cell>
          <cell r="AP39">
            <v>6.9263075394547791E-2</v>
          </cell>
        </row>
        <row r="40">
          <cell r="B40">
            <v>39387</v>
          </cell>
          <cell r="D40">
            <v>420.423</v>
          </cell>
          <cell r="E40">
            <v>1.3671581925882581E-3</v>
          </cell>
          <cell r="F40">
            <v>0.12587167264742116</v>
          </cell>
          <cell r="H40">
            <v>348.01499999999999</v>
          </cell>
          <cell r="I40">
            <v>1.0182332789698822E-3</v>
          </cell>
          <cell r="J40">
            <v>0.10055752853262168</v>
          </cell>
          <cell r="L40">
            <v>231.935</v>
          </cell>
          <cell r="M40">
            <v>-4.3113669188743486E-5</v>
          </cell>
          <cell r="N40">
            <v>5.3603470597587854E-2</v>
          </cell>
          <cell r="P40">
            <v>139.709</v>
          </cell>
          <cell r="Q40">
            <v>9.7440049293195941E-4</v>
          </cell>
          <cell r="R40">
            <v>-2.3136947796780771E-2</v>
          </cell>
          <cell r="T40">
            <v>298.863</v>
          </cell>
          <cell r="U40">
            <v>-1.1709680225369112E-4</v>
          </cell>
          <cell r="V40">
            <v>-1.5917180610937831E-2</v>
          </cell>
          <cell r="X40">
            <v>214.303</v>
          </cell>
          <cell r="Y40">
            <v>-5.2036913250148586E-3</v>
          </cell>
          <cell r="Z40">
            <v>6.2968731399547506E-2</v>
          </cell>
          <cell r="AB40">
            <v>703.01199999999994</v>
          </cell>
          <cell r="AC40">
            <v>1.4895466107689659E-2</v>
          </cell>
          <cell r="AD40">
            <v>3.6181728138854563E-2</v>
          </cell>
          <cell r="AF40">
            <v>195.803</v>
          </cell>
          <cell r="AG40">
            <v>-2.6039805160993357E-4</v>
          </cell>
          <cell r="AH40">
            <v>9.958443308811149E-2</v>
          </cell>
          <cell r="AJ40">
            <v>178.71100000000001</v>
          </cell>
          <cell r="AK40">
            <v>2.209548164224362E-3</v>
          </cell>
          <cell r="AL40">
            <v>9.1464867010718542E-2</v>
          </cell>
          <cell r="AN40">
            <v>2711.55</v>
          </cell>
          <cell r="AO40">
            <v>3.7981853114623654E-3</v>
          </cell>
          <cell r="AP40">
            <v>7.332433470160038E-2</v>
          </cell>
        </row>
        <row r="41">
          <cell r="B41">
            <v>39417</v>
          </cell>
          <cell r="D41">
            <v>423.22199999999998</v>
          </cell>
          <cell r="E41">
            <v>6.6575805795590082E-3</v>
          </cell>
          <cell r="F41">
            <v>0.13336725403031435</v>
          </cell>
          <cell r="H41">
            <v>349.29500000000002</v>
          </cell>
          <cell r="I41">
            <v>3.6780023849547483E-3</v>
          </cell>
          <cell r="J41">
            <v>0.10460538174734446</v>
          </cell>
          <cell r="L41">
            <v>232.96600000000001</v>
          </cell>
          <cell r="M41">
            <v>4.4452109427211006E-3</v>
          </cell>
          <cell r="N41">
            <v>5.8286960274377186E-2</v>
          </cell>
          <cell r="P41">
            <v>140.22300000000001</v>
          </cell>
          <cell r="Q41">
            <v>3.6790757932561036E-3</v>
          </cell>
          <cell r="R41">
            <v>-1.9542994588093721E-2</v>
          </cell>
          <cell r="T41">
            <v>299.83100000000002</v>
          </cell>
          <cell r="U41">
            <v>3.2389422578238403E-3</v>
          </cell>
          <cell r="V41">
            <v>-1.2729793182020166E-2</v>
          </cell>
          <cell r="X41">
            <v>214.334</v>
          </cell>
          <cell r="Y41">
            <v>1.4465499783011815E-4</v>
          </cell>
          <cell r="Z41">
            <v>6.3122495139081858E-2</v>
          </cell>
          <cell r="AB41">
            <v>719.46500000000003</v>
          </cell>
          <cell r="AC41">
            <v>2.3403583438120767E-2</v>
          </cell>
          <cell r="AD41">
            <v>6.043209367040836E-2</v>
          </cell>
          <cell r="AF41">
            <v>195.803</v>
          </cell>
          <cell r="AG41">
            <v>0</v>
          </cell>
          <cell r="AH41">
            <v>9.958443308811149E-2</v>
          </cell>
          <cell r="AJ41">
            <v>178.71100000000001</v>
          </cell>
          <cell r="AK41">
            <v>0</v>
          </cell>
          <cell r="AL41">
            <v>9.1464867010718542E-2</v>
          </cell>
          <cell r="AN41">
            <v>2731.62</v>
          </cell>
          <cell r="AO41">
            <v>7.4016706311887948E-3</v>
          </cell>
          <cell r="AP41">
            <v>8.1268727907501503E-2</v>
          </cell>
        </row>
        <row r="42">
          <cell r="B42">
            <v>39448</v>
          </cell>
          <cell r="D42">
            <v>423.779</v>
          </cell>
          <cell r="E42">
            <v>1.3160941538956639E-3</v>
          </cell>
          <cell r="F42">
            <v>0.13485887204756031</v>
          </cell>
          <cell r="H42">
            <v>350.24200000000002</v>
          </cell>
          <cell r="I42">
            <v>2.7111753675259642E-3</v>
          </cell>
          <cell r="J42">
            <v>0.10760016064917455</v>
          </cell>
          <cell r="L42">
            <v>233.834</v>
          </cell>
          <cell r="M42">
            <v>3.7258655769512039E-3</v>
          </cell>
          <cell r="N42">
            <v>6.2229995230199675E-2</v>
          </cell>
          <cell r="P42">
            <v>140.86099999999999</v>
          </cell>
          <cell r="Q42">
            <v>4.5498955235587779E-3</v>
          </cell>
          <cell r="R42">
            <v>-1.5082017648128332E-2</v>
          </cell>
          <cell r="T42">
            <v>300.50799999999998</v>
          </cell>
          <cell r="U42">
            <v>2.2579386387664435E-3</v>
          </cell>
          <cell r="V42">
            <v>-1.0500597635142994E-2</v>
          </cell>
          <cell r="X42">
            <v>213.76599999999999</v>
          </cell>
          <cell r="Y42">
            <v>-2.6500695176687739E-3</v>
          </cell>
          <cell r="Z42">
            <v>6.0305146621165706E-2</v>
          </cell>
          <cell r="AB42">
            <v>728.06399999999996</v>
          </cell>
          <cell r="AC42">
            <v>1.1951936508377559E-2</v>
          </cell>
          <cell r="AD42">
            <v>7.3106310725403079E-2</v>
          </cell>
          <cell r="AF42">
            <v>195.803</v>
          </cell>
          <cell r="AG42">
            <v>0</v>
          </cell>
          <cell r="AH42">
            <v>9.958443308811149E-2</v>
          </cell>
          <cell r="AJ42">
            <v>183.62799999999999</v>
          </cell>
          <cell r="AK42">
            <v>2.7513695295756646E-2</v>
          </cell>
          <cell r="AL42">
            <v>0.12149509878767506</v>
          </cell>
          <cell r="AN42">
            <v>2746.37</v>
          </cell>
          <cell r="AO42">
            <v>5.3997261698186527E-3</v>
          </cell>
          <cell r="AP42">
            <v>8.7107282954190124E-2</v>
          </cell>
        </row>
        <row r="43">
          <cell r="B43">
            <v>39479</v>
          </cell>
          <cell r="E43">
            <v>0</v>
          </cell>
          <cell r="F43">
            <v>0</v>
          </cell>
          <cell r="I43">
            <v>0</v>
          </cell>
          <cell r="J43">
            <v>0</v>
          </cell>
          <cell r="M43">
            <v>0</v>
          </cell>
          <cell r="N43">
            <v>0</v>
          </cell>
          <cell r="Q43">
            <v>0</v>
          </cell>
          <cell r="R43">
            <v>0</v>
          </cell>
          <cell r="U43">
            <v>0</v>
          </cell>
          <cell r="V43">
            <v>0</v>
          </cell>
          <cell r="Y43">
            <v>0</v>
          </cell>
          <cell r="Z43">
            <v>0</v>
          </cell>
          <cell r="AC43">
            <v>0</v>
          </cell>
          <cell r="AD43">
            <v>0</v>
          </cell>
          <cell r="AG43">
            <v>0</v>
          </cell>
          <cell r="AH43">
            <v>0</v>
          </cell>
          <cell r="AK43">
            <v>0</v>
          </cell>
          <cell r="AL43">
            <v>0</v>
          </cell>
          <cell r="AO43">
            <v>0</v>
          </cell>
          <cell r="AP43">
            <v>0</v>
          </cell>
        </row>
        <row r="44">
          <cell r="B44">
            <v>39508</v>
          </cell>
          <cell r="E44">
            <v>0</v>
          </cell>
          <cell r="F44">
            <v>0</v>
          </cell>
          <cell r="I44">
            <v>0</v>
          </cell>
          <cell r="J44">
            <v>0</v>
          </cell>
          <cell r="M44">
            <v>0</v>
          </cell>
          <cell r="N44">
            <v>0</v>
          </cell>
          <cell r="Q44">
            <v>0</v>
          </cell>
          <cell r="R44">
            <v>0</v>
          </cell>
          <cell r="U44">
            <v>0</v>
          </cell>
          <cell r="V44">
            <v>0</v>
          </cell>
          <cell r="Y44">
            <v>0</v>
          </cell>
          <cell r="Z44">
            <v>0</v>
          </cell>
          <cell r="AC44">
            <v>0</v>
          </cell>
          <cell r="AD44">
            <v>0</v>
          </cell>
          <cell r="AG44">
            <v>0</v>
          </cell>
          <cell r="AH44">
            <v>0</v>
          </cell>
          <cell r="AK44">
            <v>0</v>
          </cell>
          <cell r="AL44">
            <v>0</v>
          </cell>
          <cell r="AO44">
            <v>0</v>
          </cell>
          <cell r="AP44">
            <v>0</v>
          </cell>
        </row>
        <row r="45">
          <cell r="B45">
            <v>39539</v>
          </cell>
          <cell r="E45">
            <v>0</v>
          </cell>
          <cell r="F45">
            <v>0</v>
          </cell>
          <cell r="I45">
            <v>0</v>
          </cell>
          <cell r="J45">
            <v>0</v>
          </cell>
          <cell r="M45">
            <v>0</v>
          </cell>
          <cell r="N45">
            <v>0</v>
          </cell>
          <cell r="Q45">
            <v>0</v>
          </cell>
          <cell r="R45">
            <v>0</v>
          </cell>
          <cell r="U45">
            <v>0</v>
          </cell>
          <cell r="V45">
            <v>0</v>
          </cell>
          <cell r="Y45">
            <v>0</v>
          </cell>
          <cell r="Z45">
            <v>0</v>
          </cell>
          <cell r="AC45">
            <v>0</v>
          </cell>
          <cell r="AD45">
            <v>0</v>
          </cell>
          <cell r="AG45">
            <v>0</v>
          </cell>
          <cell r="AH45">
            <v>0</v>
          </cell>
          <cell r="AK45">
            <v>0</v>
          </cell>
          <cell r="AL45">
            <v>0</v>
          </cell>
          <cell r="AO45">
            <v>0</v>
          </cell>
          <cell r="AP45">
            <v>0</v>
          </cell>
        </row>
        <row r="46">
          <cell r="B46">
            <v>39569</v>
          </cell>
          <cell r="E46">
            <v>0</v>
          </cell>
          <cell r="F46">
            <v>0</v>
          </cell>
          <cell r="I46">
            <v>0</v>
          </cell>
          <cell r="J46">
            <v>0</v>
          </cell>
          <cell r="M46">
            <v>0</v>
          </cell>
          <cell r="N46">
            <v>0</v>
          </cell>
          <cell r="Q46">
            <v>0</v>
          </cell>
          <cell r="R46">
            <v>0</v>
          </cell>
          <cell r="U46">
            <v>0</v>
          </cell>
          <cell r="V46">
            <v>0</v>
          </cell>
          <cell r="Y46">
            <v>0</v>
          </cell>
          <cell r="Z46">
            <v>0</v>
          </cell>
          <cell r="AC46">
            <v>0</v>
          </cell>
          <cell r="AD46">
            <v>0</v>
          </cell>
          <cell r="AG46">
            <v>0</v>
          </cell>
          <cell r="AH46">
            <v>0</v>
          </cell>
          <cell r="AK46">
            <v>0</v>
          </cell>
          <cell r="AL46">
            <v>0</v>
          </cell>
          <cell r="AO46">
            <v>0</v>
          </cell>
          <cell r="AP46">
            <v>0</v>
          </cell>
        </row>
        <row r="47">
          <cell r="B47">
            <v>39600</v>
          </cell>
          <cell r="E47">
            <v>0</v>
          </cell>
          <cell r="F47">
            <v>0</v>
          </cell>
          <cell r="I47">
            <v>0</v>
          </cell>
          <cell r="J47">
            <v>0</v>
          </cell>
          <cell r="M47">
            <v>0</v>
          </cell>
          <cell r="N47">
            <v>0</v>
          </cell>
          <cell r="Q47">
            <v>0</v>
          </cell>
          <cell r="R47">
            <v>0</v>
          </cell>
          <cell r="U47">
            <v>0</v>
          </cell>
          <cell r="V47">
            <v>0</v>
          </cell>
          <cell r="Y47">
            <v>0</v>
          </cell>
          <cell r="Z47">
            <v>0</v>
          </cell>
          <cell r="AC47">
            <v>0</v>
          </cell>
          <cell r="AD47">
            <v>0</v>
          </cell>
          <cell r="AG47">
            <v>0</v>
          </cell>
          <cell r="AH47">
            <v>0</v>
          </cell>
          <cell r="AK47">
            <v>0</v>
          </cell>
          <cell r="AL47">
            <v>0</v>
          </cell>
          <cell r="AO47">
            <v>0</v>
          </cell>
          <cell r="AP47">
            <v>0</v>
          </cell>
        </row>
        <row r="48">
          <cell r="B48">
            <v>39630</v>
          </cell>
          <cell r="E48">
            <v>0</v>
          </cell>
          <cell r="F48">
            <v>0</v>
          </cell>
          <cell r="I48">
            <v>0</v>
          </cell>
          <cell r="J48">
            <v>0</v>
          </cell>
          <cell r="M48">
            <v>0</v>
          </cell>
          <cell r="N48">
            <v>0</v>
          </cell>
          <cell r="Q48">
            <v>0</v>
          </cell>
          <cell r="R48">
            <v>0</v>
          </cell>
          <cell r="U48">
            <v>0</v>
          </cell>
          <cell r="V48">
            <v>0</v>
          </cell>
          <cell r="Y48">
            <v>0</v>
          </cell>
          <cell r="Z48">
            <v>0</v>
          </cell>
          <cell r="AC48">
            <v>0</v>
          </cell>
          <cell r="AD48">
            <v>0</v>
          </cell>
          <cell r="AG48">
            <v>0</v>
          </cell>
          <cell r="AH48">
            <v>0</v>
          </cell>
          <cell r="AK48">
            <v>0</v>
          </cell>
          <cell r="AL48">
            <v>0</v>
          </cell>
          <cell r="AO48">
            <v>0</v>
          </cell>
          <cell r="AP48">
            <v>0</v>
          </cell>
        </row>
        <row r="49">
          <cell r="B49">
            <v>39661</v>
          </cell>
          <cell r="E49">
            <v>0</v>
          </cell>
          <cell r="F49">
            <v>0</v>
          </cell>
          <cell r="I49">
            <v>0</v>
          </cell>
          <cell r="J49">
            <v>0</v>
          </cell>
          <cell r="M49">
            <v>0</v>
          </cell>
          <cell r="N49">
            <v>0</v>
          </cell>
          <cell r="Q49">
            <v>0</v>
          </cell>
          <cell r="R49">
            <v>0</v>
          </cell>
          <cell r="U49">
            <v>0</v>
          </cell>
          <cell r="V49">
            <v>0</v>
          </cell>
          <cell r="Y49">
            <v>0</v>
          </cell>
          <cell r="Z49">
            <v>0</v>
          </cell>
          <cell r="AC49">
            <v>0</v>
          </cell>
          <cell r="AD49">
            <v>0</v>
          </cell>
          <cell r="AG49">
            <v>0</v>
          </cell>
          <cell r="AH49">
            <v>0</v>
          </cell>
          <cell r="AK49">
            <v>0</v>
          </cell>
          <cell r="AL49">
            <v>0</v>
          </cell>
          <cell r="AO49">
            <v>0</v>
          </cell>
          <cell r="AP49">
            <v>0</v>
          </cell>
        </row>
        <row r="50">
          <cell r="B50">
            <v>39692</v>
          </cell>
          <cell r="E50">
            <v>0</v>
          </cell>
          <cell r="F50">
            <v>0</v>
          </cell>
          <cell r="I50">
            <v>0</v>
          </cell>
          <cell r="J50">
            <v>0</v>
          </cell>
          <cell r="M50">
            <v>0</v>
          </cell>
          <cell r="N50">
            <v>0</v>
          </cell>
          <cell r="Q50">
            <v>0</v>
          </cell>
          <cell r="R50">
            <v>0</v>
          </cell>
          <cell r="U50">
            <v>0</v>
          </cell>
          <cell r="V50">
            <v>0</v>
          </cell>
          <cell r="Y50">
            <v>0</v>
          </cell>
          <cell r="Z50">
            <v>0</v>
          </cell>
          <cell r="AC50">
            <v>0</v>
          </cell>
          <cell r="AD50">
            <v>0</v>
          </cell>
          <cell r="AG50">
            <v>0</v>
          </cell>
          <cell r="AH50">
            <v>0</v>
          </cell>
          <cell r="AK50">
            <v>0</v>
          </cell>
          <cell r="AL50">
            <v>0</v>
          </cell>
          <cell r="AO50">
            <v>0</v>
          </cell>
          <cell r="AP50">
            <v>0</v>
          </cell>
        </row>
        <row r="51">
          <cell r="B51">
            <v>39722</v>
          </cell>
          <cell r="E51">
            <v>0</v>
          </cell>
          <cell r="F51">
            <v>0</v>
          </cell>
          <cell r="I51">
            <v>0</v>
          </cell>
          <cell r="J51">
            <v>0</v>
          </cell>
          <cell r="M51">
            <v>0</v>
          </cell>
          <cell r="N51">
            <v>0</v>
          </cell>
          <cell r="Q51">
            <v>0</v>
          </cell>
          <cell r="R51">
            <v>0</v>
          </cell>
          <cell r="U51">
            <v>0</v>
          </cell>
          <cell r="V51">
            <v>0</v>
          </cell>
          <cell r="Y51">
            <v>0</v>
          </cell>
          <cell r="Z51">
            <v>0</v>
          </cell>
          <cell r="AC51">
            <v>0</v>
          </cell>
          <cell r="AD51">
            <v>0</v>
          </cell>
          <cell r="AG51">
            <v>0</v>
          </cell>
          <cell r="AH51">
            <v>0</v>
          </cell>
          <cell r="AK51">
            <v>0</v>
          </cell>
          <cell r="AL51">
            <v>0</v>
          </cell>
          <cell r="AO51">
            <v>0</v>
          </cell>
          <cell r="AP51">
            <v>0</v>
          </cell>
        </row>
        <row r="52">
          <cell r="B52">
            <v>39753</v>
          </cell>
          <cell r="E52">
            <v>0</v>
          </cell>
          <cell r="F52">
            <v>0</v>
          </cell>
          <cell r="I52">
            <v>0</v>
          </cell>
          <cell r="J52">
            <v>0</v>
          </cell>
          <cell r="M52">
            <v>0</v>
          </cell>
          <cell r="N52">
            <v>0</v>
          </cell>
          <cell r="Q52">
            <v>0</v>
          </cell>
          <cell r="R52">
            <v>0</v>
          </cell>
          <cell r="U52">
            <v>0</v>
          </cell>
          <cell r="V52">
            <v>0</v>
          </cell>
          <cell r="Y52">
            <v>0</v>
          </cell>
          <cell r="Z52">
            <v>0</v>
          </cell>
          <cell r="AC52">
            <v>0</v>
          </cell>
          <cell r="AD52">
            <v>0</v>
          </cell>
          <cell r="AG52">
            <v>0</v>
          </cell>
          <cell r="AH52">
            <v>0</v>
          </cell>
          <cell r="AK52">
            <v>0</v>
          </cell>
          <cell r="AL52">
            <v>0</v>
          </cell>
          <cell r="AO52">
            <v>0</v>
          </cell>
          <cell r="AP52">
            <v>0</v>
          </cell>
        </row>
        <row r="53">
          <cell r="B53">
            <v>39783</v>
          </cell>
          <cell r="E53">
            <v>0</v>
          </cell>
          <cell r="F53">
            <v>0</v>
          </cell>
          <cell r="I53">
            <v>0</v>
          </cell>
          <cell r="J53">
            <v>0</v>
          </cell>
          <cell r="M53">
            <v>0</v>
          </cell>
          <cell r="N53">
            <v>0</v>
          </cell>
          <cell r="Q53">
            <v>0</v>
          </cell>
          <cell r="R53">
            <v>0</v>
          </cell>
          <cell r="U53">
            <v>0</v>
          </cell>
          <cell r="V53">
            <v>0</v>
          </cell>
          <cell r="Y53">
            <v>0</v>
          </cell>
          <cell r="Z53">
            <v>0</v>
          </cell>
          <cell r="AC53">
            <v>0</v>
          </cell>
          <cell r="AD53">
            <v>0</v>
          </cell>
          <cell r="AG53">
            <v>0</v>
          </cell>
          <cell r="AH53">
            <v>0</v>
          </cell>
          <cell r="AK53">
            <v>0</v>
          </cell>
          <cell r="AL53">
            <v>0</v>
          </cell>
          <cell r="AO53">
            <v>0</v>
          </cell>
          <cell r="AP53">
            <v>0</v>
          </cell>
        </row>
        <row r="54">
          <cell r="B54">
            <v>39814</v>
          </cell>
          <cell r="E54">
            <v>0</v>
          </cell>
          <cell r="F54">
            <v>0</v>
          </cell>
          <cell r="I54">
            <v>0</v>
          </cell>
          <cell r="J54">
            <v>0</v>
          </cell>
          <cell r="M54">
            <v>0</v>
          </cell>
          <cell r="N54">
            <v>0</v>
          </cell>
          <cell r="Q54">
            <v>0</v>
          </cell>
          <cell r="R54">
            <v>0</v>
          </cell>
          <cell r="U54">
            <v>0</v>
          </cell>
          <cell r="V54">
            <v>0</v>
          </cell>
          <cell r="Y54">
            <v>0</v>
          </cell>
          <cell r="Z54">
            <v>0</v>
          </cell>
          <cell r="AC54">
            <v>0</v>
          </cell>
          <cell r="AD54">
            <v>0</v>
          </cell>
          <cell r="AG54">
            <v>0</v>
          </cell>
          <cell r="AH54">
            <v>0</v>
          </cell>
          <cell r="AK54">
            <v>0</v>
          </cell>
          <cell r="AL54">
            <v>0</v>
          </cell>
          <cell r="AO54">
            <v>0</v>
          </cell>
          <cell r="AP54">
            <v>0</v>
          </cell>
        </row>
        <row r="55">
          <cell r="B55">
            <v>39845</v>
          </cell>
          <cell r="E55">
            <v>0</v>
          </cell>
          <cell r="F55">
            <v>0</v>
          </cell>
          <cell r="I55">
            <v>0</v>
          </cell>
          <cell r="J55">
            <v>0</v>
          </cell>
          <cell r="M55">
            <v>0</v>
          </cell>
          <cell r="N55">
            <v>0</v>
          </cell>
          <cell r="Q55">
            <v>0</v>
          </cell>
          <cell r="R55">
            <v>0</v>
          </cell>
          <cell r="U55">
            <v>0</v>
          </cell>
          <cell r="V55">
            <v>0</v>
          </cell>
          <cell r="Y55">
            <v>0</v>
          </cell>
          <cell r="Z55">
            <v>0</v>
          </cell>
          <cell r="AC55">
            <v>0</v>
          </cell>
          <cell r="AD55">
            <v>0</v>
          </cell>
          <cell r="AG55">
            <v>0</v>
          </cell>
          <cell r="AH55">
            <v>0</v>
          </cell>
          <cell r="AK55">
            <v>0</v>
          </cell>
          <cell r="AL55">
            <v>0</v>
          </cell>
          <cell r="AO55">
            <v>0</v>
          </cell>
          <cell r="AP55">
            <v>0</v>
          </cell>
        </row>
        <row r="56">
          <cell r="B56">
            <v>39873</v>
          </cell>
          <cell r="E56">
            <v>0</v>
          </cell>
          <cell r="F56">
            <v>0</v>
          </cell>
          <cell r="I56">
            <v>0</v>
          </cell>
          <cell r="J56">
            <v>0</v>
          </cell>
          <cell r="M56">
            <v>0</v>
          </cell>
          <cell r="N56">
            <v>0</v>
          </cell>
          <cell r="Q56">
            <v>0</v>
          </cell>
          <cell r="R56">
            <v>0</v>
          </cell>
          <cell r="U56">
            <v>0</v>
          </cell>
          <cell r="V56">
            <v>0</v>
          </cell>
          <cell r="Y56">
            <v>0</v>
          </cell>
          <cell r="Z56">
            <v>0</v>
          </cell>
          <cell r="AC56">
            <v>0</v>
          </cell>
          <cell r="AD56">
            <v>0</v>
          </cell>
          <cell r="AG56">
            <v>0</v>
          </cell>
          <cell r="AH56">
            <v>0</v>
          </cell>
          <cell r="AK56">
            <v>0</v>
          </cell>
          <cell r="AL56">
            <v>0</v>
          </cell>
          <cell r="AO56">
            <v>0</v>
          </cell>
          <cell r="AP56">
            <v>0</v>
          </cell>
        </row>
        <row r="57">
          <cell r="B57">
            <v>39904</v>
          </cell>
          <cell r="E57">
            <v>0</v>
          </cell>
          <cell r="F57">
            <v>0</v>
          </cell>
          <cell r="I57">
            <v>0</v>
          </cell>
          <cell r="J57">
            <v>0</v>
          </cell>
          <cell r="M57">
            <v>0</v>
          </cell>
          <cell r="N57">
            <v>0</v>
          </cell>
          <cell r="Q57">
            <v>0</v>
          </cell>
          <cell r="R57">
            <v>0</v>
          </cell>
          <cell r="U57">
            <v>0</v>
          </cell>
          <cell r="V57">
            <v>0</v>
          </cell>
          <cell r="Y57">
            <v>0</v>
          </cell>
          <cell r="Z57">
            <v>0</v>
          </cell>
          <cell r="AC57">
            <v>0</v>
          </cell>
          <cell r="AD57">
            <v>0</v>
          </cell>
          <cell r="AG57">
            <v>0</v>
          </cell>
          <cell r="AH57">
            <v>0</v>
          </cell>
          <cell r="AK57">
            <v>0</v>
          </cell>
          <cell r="AL57">
            <v>0</v>
          </cell>
          <cell r="AO57">
            <v>0</v>
          </cell>
          <cell r="AP57">
            <v>0</v>
          </cell>
        </row>
        <row r="58">
          <cell r="B58">
            <v>39934</v>
          </cell>
          <cell r="E58">
            <v>0</v>
          </cell>
          <cell r="F58">
            <v>0</v>
          </cell>
          <cell r="I58">
            <v>0</v>
          </cell>
          <cell r="J58">
            <v>0</v>
          </cell>
          <cell r="M58">
            <v>0</v>
          </cell>
          <cell r="N58">
            <v>0</v>
          </cell>
          <cell r="Q58">
            <v>0</v>
          </cell>
          <cell r="R58">
            <v>0</v>
          </cell>
          <cell r="U58">
            <v>0</v>
          </cell>
          <cell r="V58">
            <v>0</v>
          </cell>
          <cell r="Y58">
            <v>0</v>
          </cell>
          <cell r="Z58">
            <v>0</v>
          </cell>
          <cell r="AC58">
            <v>0</v>
          </cell>
          <cell r="AD58">
            <v>0</v>
          </cell>
          <cell r="AG58">
            <v>0</v>
          </cell>
          <cell r="AH58">
            <v>0</v>
          </cell>
          <cell r="AK58">
            <v>0</v>
          </cell>
          <cell r="AL58">
            <v>0</v>
          </cell>
          <cell r="AO58">
            <v>0</v>
          </cell>
          <cell r="AP58">
            <v>0</v>
          </cell>
        </row>
        <row r="59">
          <cell r="B59">
            <v>39965</v>
          </cell>
          <cell r="E59">
            <v>0</v>
          </cell>
          <cell r="F59">
            <v>0</v>
          </cell>
          <cell r="I59">
            <v>0</v>
          </cell>
          <cell r="J59">
            <v>0</v>
          </cell>
          <cell r="M59">
            <v>0</v>
          </cell>
          <cell r="N59">
            <v>0</v>
          </cell>
          <cell r="Q59">
            <v>0</v>
          </cell>
          <cell r="R59">
            <v>0</v>
          </cell>
          <cell r="U59">
            <v>0</v>
          </cell>
          <cell r="V59">
            <v>0</v>
          </cell>
          <cell r="Y59">
            <v>0</v>
          </cell>
          <cell r="Z59">
            <v>0</v>
          </cell>
          <cell r="AC59">
            <v>0</v>
          </cell>
          <cell r="AD59">
            <v>0</v>
          </cell>
          <cell r="AG59">
            <v>0</v>
          </cell>
          <cell r="AH59">
            <v>0</v>
          </cell>
          <cell r="AK59">
            <v>0</v>
          </cell>
          <cell r="AL59">
            <v>0</v>
          </cell>
          <cell r="AO59">
            <v>0</v>
          </cell>
          <cell r="AP59">
            <v>0</v>
          </cell>
        </row>
        <row r="60">
          <cell r="B60">
            <v>39995</v>
          </cell>
          <cell r="E60">
            <v>0</v>
          </cell>
          <cell r="F60">
            <v>0</v>
          </cell>
          <cell r="I60">
            <v>0</v>
          </cell>
          <cell r="J60">
            <v>0</v>
          </cell>
          <cell r="M60">
            <v>0</v>
          </cell>
          <cell r="N60">
            <v>0</v>
          </cell>
          <cell r="Q60">
            <v>0</v>
          </cell>
          <cell r="R60">
            <v>0</v>
          </cell>
          <cell r="U60">
            <v>0</v>
          </cell>
          <cell r="V60">
            <v>0</v>
          </cell>
          <cell r="Y60">
            <v>0</v>
          </cell>
          <cell r="Z60">
            <v>0</v>
          </cell>
          <cell r="AC60">
            <v>0</v>
          </cell>
          <cell r="AD60">
            <v>0</v>
          </cell>
          <cell r="AG60">
            <v>0</v>
          </cell>
          <cell r="AH60">
            <v>0</v>
          </cell>
          <cell r="AK60">
            <v>0</v>
          </cell>
          <cell r="AL60">
            <v>0</v>
          </cell>
          <cell r="AO60">
            <v>0</v>
          </cell>
          <cell r="AP60">
            <v>0</v>
          </cell>
        </row>
        <row r="61">
          <cell r="B61">
            <v>40026</v>
          </cell>
          <cell r="E61">
            <v>0</v>
          </cell>
          <cell r="F61">
            <v>0</v>
          </cell>
          <cell r="I61">
            <v>0</v>
          </cell>
          <cell r="J61">
            <v>0</v>
          </cell>
          <cell r="M61">
            <v>0</v>
          </cell>
          <cell r="N61">
            <v>0</v>
          </cell>
          <cell r="Q61">
            <v>0</v>
          </cell>
          <cell r="R61">
            <v>0</v>
          </cell>
          <cell r="U61">
            <v>0</v>
          </cell>
          <cell r="V61">
            <v>0</v>
          </cell>
          <cell r="Y61">
            <v>0</v>
          </cell>
          <cell r="Z61">
            <v>0</v>
          </cell>
          <cell r="AC61">
            <v>0</v>
          </cell>
          <cell r="AD61">
            <v>0</v>
          </cell>
          <cell r="AG61">
            <v>0</v>
          </cell>
          <cell r="AH61">
            <v>0</v>
          </cell>
          <cell r="AK61">
            <v>0</v>
          </cell>
          <cell r="AL61">
            <v>0</v>
          </cell>
          <cell r="AO61">
            <v>0</v>
          </cell>
          <cell r="AP61">
            <v>0</v>
          </cell>
        </row>
        <row r="62">
          <cell r="B62">
            <v>40057</v>
          </cell>
          <cell r="E62">
            <v>0</v>
          </cell>
          <cell r="F62">
            <v>0</v>
          </cell>
          <cell r="I62">
            <v>0</v>
          </cell>
          <cell r="J62">
            <v>0</v>
          </cell>
          <cell r="M62">
            <v>0</v>
          </cell>
          <cell r="N62">
            <v>0</v>
          </cell>
          <cell r="Q62">
            <v>0</v>
          </cell>
          <cell r="R62">
            <v>0</v>
          </cell>
          <cell r="U62">
            <v>0</v>
          </cell>
          <cell r="V62">
            <v>0</v>
          </cell>
          <cell r="Y62">
            <v>0</v>
          </cell>
          <cell r="Z62">
            <v>0</v>
          </cell>
          <cell r="AC62">
            <v>0</v>
          </cell>
          <cell r="AD62">
            <v>0</v>
          </cell>
          <cell r="AG62">
            <v>0</v>
          </cell>
          <cell r="AH62">
            <v>0</v>
          </cell>
          <cell r="AK62">
            <v>0</v>
          </cell>
          <cell r="AL62">
            <v>0</v>
          </cell>
          <cell r="AO62">
            <v>0</v>
          </cell>
          <cell r="AP62">
            <v>0</v>
          </cell>
        </row>
        <row r="63">
          <cell r="B63">
            <v>40087</v>
          </cell>
          <cell r="E63">
            <v>0</v>
          </cell>
          <cell r="F63">
            <v>0</v>
          </cell>
          <cell r="I63">
            <v>0</v>
          </cell>
          <cell r="J63">
            <v>0</v>
          </cell>
          <cell r="M63">
            <v>0</v>
          </cell>
          <cell r="N63">
            <v>0</v>
          </cell>
          <cell r="Q63">
            <v>0</v>
          </cell>
          <cell r="R63">
            <v>0</v>
          </cell>
          <cell r="U63">
            <v>0</v>
          </cell>
          <cell r="V63">
            <v>0</v>
          </cell>
          <cell r="Y63">
            <v>0</v>
          </cell>
          <cell r="Z63">
            <v>0</v>
          </cell>
          <cell r="AC63">
            <v>0</v>
          </cell>
          <cell r="AD63">
            <v>0</v>
          </cell>
          <cell r="AG63">
            <v>0</v>
          </cell>
          <cell r="AH63">
            <v>0</v>
          </cell>
          <cell r="AK63">
            <v>0</v>
          </cell>
          <cell r="AL63">
            <v>0</v>
          </cell>
          <cell r="AO63">
            <v>0</v>
          </cell>
          <cell r="AP63">
            <v>0</v>
          </cell>
        </row>
        <row r="64">
          <cell r="B64">
            <v>40118</v>
          </cell>
          <cell r="E64">
            <v>0</v>
          </cell>
          <cell r="F64">
            <v>0</v>
          </cell>
          <cell r="I64">
            <v>0</v>
          </cell>
          <cell r="J64">
            <v>0</v>
          </cell>
          <cell r="M64">
            <v>0</v>
          </cell>
          <cell r="N64">
            <v>0</v>
          </cell>
          <cell r="Q64">
            <v>0</v>
          </cell>
          <cell r="R64">
            <v>0</v>
          </cell>
          <cell r="U64">
            <v>0</v>
          </cell>
          <cell r="V64">
            <v>0</v>
          </cell>
          <cell r="Y64">
            <v>0</v>
          </cell>
          <cell r="Z64">
            <v>0</v>
          </cell>
          <cell r="AC64">
            <v>0</v>
          </cell>
          <cell r="AD64">
            <v>0</v>
          </cell>
          <cell r="AG64">
            <v>0</v>
          </cell>
          <cell r="AH64">
            <v>0</v>
          </cell>
          <cell r="AK64">
            <v>0</v>
          </cell>
          <cell r="AL64">
            <v>0</v>
          </cell>
          <cell r="AO64">
            <v>0</v>
          </cell>
          <cell r="AP64">
            <v>0</v>
          </cell>
        </row>
        <row r="65">
          <cell r="B65">
            <v>40148</v>
          </cell>
          <cell r="E65">
            <v>0</v>
          </cell>
          <cell r="F65">
            <v>0</v>
          </cell>
          <cell r="I65">
            <v>0</v>
          </cell>
          <cell r="J65">
            <v>0</v>
          </cell>
          <cell r="M65">
            <v>0</v>
          </cell>
          <cell r="N65">
            <v>0</v>
          </cell>
          <cell r="Q65">
            <v>0</v>
          </cell>
          <cell r="R65">
            <v>0</v>
          </cell>
          <cell r="U65">
            <v>0</v>
          </cell>
          <cell r="V65">
            <v>0</v>
          </cell>
          <cell r="Y65">
            <v>0</v>
          </cell>
          <cell r="Z65">
            <v>0</v>
          </cell>
          <cell r="AC65">
            <v>0</v>
          </cell>
          <cell r="AD65">
            <v>0</v>
          </cell>
          <cell r="AG65">
            <v>0</v>
          </cell>
          <cell r="AH65">
            <v>0</v>
          </cell>
          <cell r="AK65">
            <v>0</v>
          </cell>
          <cell r="AL65">
            <v>0</v>
          </cell>
          <cell r="AO65">
            <v>0</v>
          </cell>
          <cell r="AP65">
            <v>0</v>
          </cell>
        </row>
        <row r="66">
          <cell r="B66">
            <v>40179</v>
          </cell>
          <cell r="E66">
            <v>0</v>
          </cell>
          <cell r="F66">
            <v>0</v>
          </cell>
          <cell r="I66">
            <v>0</v>
          </cell>
          <cell r="J66">
            <v>0</v>
          </cell>
          <cell r="M66">
            <v>0</v>
          </cell>
          <cell r="N66">
            <v>0</v>
          </cell>
          <cell r="Q66">
            <v>0</v>
          </cell>
          <cell r="R66">
            <v>0</v>
          </cell>
          <cell r="U66">
            <v>0</v>
          </cell>
          <cell r="V66">
            <v>0</v>
          </cell>
          <cell r="Y66">
            <v>0</v>
          </cell>
          <cell r="Z66">
            <v>0</v>
          </cell>
          <cell r="AC66">
            <v>0</v>
          </cell>
          <cell r="AD66">
            <v>0</v>
          </cell>
          <cell r="AG66">
            <v>0</v>
          </cell>
          <cell r="AH66">
            <v>0</v>
          </cell>
          <cell r="AK66">
            <v>0</v>
          </cell>
          <cell r="AL66">
            <v>0</v>
          </cell>
          <cell r="AO66">
            <v>0</v>
          </cell>
          <cell r="AP66">
            <v>0</v>
          </cell>
        </row>
        <row r="67">
          <cell r="B67">
            <v>40210</v>
          </cell>
          <cell r="E67">
            <v>0</v>
          </cell>
          <cell r="F67">
            <v>0</v>
          </cell>
          <cell r="I67">
            <v>0</v>
          </cell>
          <cell r="J67">
            <v>0</v>
          </cell>
          <cell r="M67">
            <v>0</v>
          </cell>
          <cell r="N67">
            <v>0</v>
          </cell>
          <cell r="Q67">
            <v>0</v>
          </cell>
          <cell r="R67">
            <v>0</v>
          </cell>
          <cell r="U67">
            <v>0</v>
          </cell>
          <cell r="V67">
            <v>0</v>
          </cell>
          <cell r="Y67">
            <v>0</v>
          </cell>
          <cell r="Z67">
            <v>0</v>
          </cell>
          <cell r="AC67">
            <v>0</v>
          </cell>
          <cell r="AD67">
            <v>0</v>
          </cell>
          <cell r="AG67">
            <v>0</v>
          </cell>
          <cell r="AH67">
            <v>0</v>
          </cell>
          <cell r="AK67">
            <v>0</v>
          </cell>
          <cell r="AL67">
            <v>0</v>
          </cell>
          <cell r="AO67">
            <v>0</v>
          </cell>
          <cell r="AP67">
            <v>0</v>
          </cell>
        </row>
        <row r="68">
          <cell r="B68">
            <v>40238</v>
          </cell>
          <cell r="E68">
            <v>0</v>
          </cell>
          <cell r="F68">
            <v>0</v>
          </cell>
          <cell r="I68">
            <v>0</v>
          </cell>
          <cell r="J68">
            <v>0</v>
          </cell>
          <cell r="M68">
            <v>0</v>
          </cell>
          <cell r="N68">
            <v>0</v>
          </cell>
          <cell r="Q68">
            <v>0</v>
          </cell>
          <cell r="R68">
            <v>0</v>
          </cell>
          <cell r="U68">
            <v>0</v>
          </cell>
          <cell r="V68">
            <v>0</v>
          </cell>
          <cell r="Y68">
            <v>0</v>
          </cell>
          <cell r="Z68">
            <v>0</v>
          </cell>
          <cell r="AC68">
            <v>0</v>
          </cell>
          <cell r="AD68">
            <v>0</v>
          </cell>
          <cell r="AG68">
            <v>0</v>
          </cell>
          <cell r="AH68">
            <v>0</v>
          </cell>
          <cell r="AK68">
            <v>0</v>
          </cell>
          <cell r="AL68">
            <v>0</v>
          </cell>
          <cell r="AO68">
            <v>0</v>
          </cell>
          <cell r="AP68">
            <v>0</v>
          </cell>
        </row>
        <row r="69">
          <cell r="B69">
            <v>40269</v>
          </cell>
          <cell r="E69">
            <v>0</v>
          </cell>
          <cell r="F69">
            <v>0</v>
          </cell>
          <cell r="I69">
            <v>0</v>
          </cell>
          <cell r="J69">
            <v>0</v>
          </cell>
          <cell r="M69">
            <v>0</v>
          </cell>
          <cell r="N69">
            <v>0</v>
          </cell>
          <cell r="Q69">
            <v>0</v>
          </cell>
          <cell r="R69">
            <v>0</v>
          </cell>
          <cell r="U69">
            <v>0</v>
          </cell>
          <cell r="V69">
            <v>0</v>
          </cell>
          <cell r="Y69">
            <v>0</v>
          </cell>
          <cell r="Z69">
            <v>0</v>
          </cell>
          <cell r="AC69">
            <v>0</v>
          </cell>
          <cell r="AD69">
            <v>0</v>
          </cell>
          <cell r="AG69">
            <v>0</v>
          </cell>
          <cell r="AH69">
            <v>0</v>
          </cell>
          <cell r="AK69">
            <v>0</v>
          </cell>
          <cell r="AL69">
            <v>0</v>
          </cell>
          <cell r="AO69">
            <v>0</v>
          </cell>
          <cell r="AP69">
            <v>0</v>
          </cell>
        </row>
        <row r="70">
          <cell r="B70">
            <v>40299</v>
          </cell>
          <cell r="E70">
            <v>0</v>
          </cell>
          <cell r="F70">
            <v>0</v>
          </cell>
          <cell r="I70">
            <v>0</v>
          </cell>
          <cell r="J70">
            <v>0</v>
          </cell>
          <cell r="M70">
            <v>0</v>
          </cell>
          <cell r="N70">
            <v>0</v>
          </cell>
          <cell r="Q70">
            <v>0</v>
          </cell>
          <cell r="R70">
            <v>0</v>
          </cell>
          <cell r="U70">
            <v>0</v>
          </cell>
          <cell r="V70">
            <v>0</v>
          </cell>
          <cell r="Y70">
            <v>0</v>
          </cell>
          <cell r="Z70">
            <v>0</v>
          </cell>
          <cell r="AC70">
            <v>0</v>
          </cell>
          <cell r="AD70">
            <v>0</v>
          </cell>
          <cell r="AG70">
            <v>0</v>
          </cell>
          <cell r="AH70">
            <v>0</v>
          </cell>
          <cell r="AK70">
            <v>0</v>
          </cell>
          <cell r="AL70">
            <v>0</v>
          </cell>
          <cell r="AO70">
            <v>0</v>
          </cell>
          <cell r="AP70">
            <v>0</v>
          </cell>
        </row>
        <row r="71">
          <cell r="B71">
            <v>40330</v>
          </cell>
          <cell r="E71">
            <v>0</v>
          </cell>
          <cell r="F71">
            <v>0</v>
          </cell>
          <cell r="I71">
            <v>0</v>
          </cell>
          <cell r="J71">
            <v>0</v>
          </cell>
          <cell r="M71">
            <v>0</v>
          </cell>
          <cell r="N71">
            <v>0</v>
          </cell>
          <cell r="Q71">
            <v>0</v>
          </cell>
          <cell r="R71">
            <v>0</v>
          </cell>
          <cell r="U71">
            <v>0</v>
          </cell>
          <cell r="V71">
            <v>0</v>
          </cell>
          <cell r="Y71">
            <v>0</v>
          </cell>
          <cell r="Z71">
            <v>0</v>
          </cell>
          <cell r="AC71">
            <v>0</v>
          </cell>
          <cell r="AD71">
            <v>0</v>
          </cell>
          <cell r="AG71">
            <v>0</v>
          </cell>
          <cell r="AH71">
            <v>0</v>
          </cell>
          <cell r="AK71">
            <v>0</v>
          </cell>
          <cell r="AL71">
            <v>0</v>
          </cell>
          <cell r="AO71">
            <v>0</v>
          </cell>
          <cell r="AP71">
            <v>0</v>
          </cell>
        </row>
        <row r="72">
          <cell r="B72">
            <v>40360</v>
          </cell>
          <cell r="E72">
            <v>0</v>
          </cell>
          <cell r="F72">
            <v>0</v>
          </cell>
          <cell r="I72">
            <v>0</v>
          </cell>
          <cell r="J72">
            <v>0</v>
          </cell>
          <cell r="M72">
            <v>0</v>
          </cell>
          <cell r="N72">
            <v>0</v>
          </cell>
          <cell r="Q72">
            <v>0</v>
          </cell>
          <cell r="R72">
            <v>0</v>
          </cell>
          <cell r="U72">
            <v>0</v>
          </cell>
          <cell r="V72">
            <v>0</v>
          </cell>
          <cell r="Y72">
            <v>0</v>
          </cell>
          <cell r="Z72">
            <v>0</v>
          </cell>
          <cell r="AC72">
            <v>0</v>
          </cell>
          <cell r="AD72">
            <v>0</v>
          </cell>
          <cell r="AG72">
            <v>0</v>
          </cell>
          <cell r="AH72">
            <v>0</v>
          </cell>
          <cell r="AK72">
            <v>0</v>
          </cell>
          <cell r="AL72">
            <v>0</v>
          </cell>
          <cell r="AO72">
            <v>0</v>
          </cell>
          <cell r="AP72">
            <v>0</v>
          </cell>
        </row>
        <row r="73">
          <cell r="B73">
            <v>40391</v>
          </cell>
          <cell r="E73">
            <v>0</v>
          </cell>
          <cell r="F73">
            <v>0</v>
          </cell>
          <cell r="I73">
            <v>0</v>
          </cell>
          <cell r="J73">
            <v>0</v>
          </cell>
          <cell r="M73">
            <v>0</v>
          </cell>
          <cell r="N73">
            <v>0</v>
          </cell>
          <cell r="Q73">
            <v>0</v>
          </cell>
          <cell r="R73">
            <v>0</v>
          </cell>
          <cell r="U73">
            <v>0</v>
          </cell>
          <cell r="V73">
            <v>0</v>
          </cell>
          <cell r="Y73">
            <v>0</v>
          </cell>
          <cell r="Z73">
            <v>0</v>
          </cell>
          <cell r="AC73">
            <v>0</v>
          </cell>
          <cell r="AD73">
            <v>0</v>
          </cell>
          <cell r="AG73">
            <v>0</v>
          </cell>
          <cell r="AH73">
            <v>0</v>
          </cell>
          <cell r="AK73">
            <v>0</v>
          </cell>
          <cell r="AL73">
            <v>0</v>
          </cell>
          <cell r="AO73">
            <v>0</v>
          </cell>
          <cell r="AP73">
            <v>0</v>
          </cell>
        </row>
        <row r="74">
          <cell r="B74">
            <v>40422</v>
          </cell>
          <cell r="E74">
            <v>0</v>
          </cell>
          <cell r="F74">
            <v>0</v>
          </cell>
          <cell r="I74">
            <v>0</v>
          </cell>
          <cell r="J74">
            <v>0</v>
          </cell>
          <cell r="M74">
            <v>0</v>
          </cell>
          <cell r="N74">
            <v>0</v>
          </cell>
          <cell r="Q74">
            <v>0</v>
          </cell>
          <cell r="R74">
            <v>0</v>
          </cell>
          <cell r="U74">
            <v>0</v>
          </cell>
          <cell r="V74">
            <v>0</v>
          </cell>
          <cell r="Y74">
            <v>0</v>
          </cell>
          <cell r="Z74">
            <v>0</v>
          </cell>
          <cell r="AC74">
            <v>0</v>
          </cell>
          <cell r="AD74">
            <v>0</v>
          </cell>
          <cell r="AG74">
            <v>0</v>
          </cell>
          <cell r="AH74">
            <v>0</v>
          </cell>
          <cell r="AK74">
            <v>0</v>
          </cell>
          <cell r="AL74">
            <v>0</v>
          </cell>
          <cell r="AO74">
            <v>0</v>
          </cell>
          <cell r="AP74">
            <v>0</v>
          </cell>
        </row>
        <row r="75">
          <cell r="B75">
            <v>40452</v>
          </cell>
          <cell r="E75">
            <v>0</v>
          </cell>
          <cell r="F75">
            <v>0</v>
          </cell>
          <cell r="I75">
            <v>0</v>
          </cell>
          <cell r="J75">
            <v>0</v>
          </cell>
          <cell r="M75">
            <v>0</v>
          </cell>
          <cell r="N75">
            <v>0</v>
          </cell>
          <cell r="Q75">
            <v>0</v>
          </cell>
          <cell r="R75">
            <v>0</v>
          </cell>
          <cell r="U75">
            <v>0</v>
          </cell>
          <cell r="V75">
            <v>0</v>
          </cell>
          <cell r="Y75">
            <v>0</v>
          </cell>
          <cell r="Z75">
            <v>0</v>
          </cell>
          <cell r="AC75">
            <v>0</v>
          </cell>
          <cell r="AD75">
            <v>0</v>
          </cell>
          <cell r="AG75">
            <v>0</v>
          </cell>
          <cell r="AH75">
            <v>0</v>
          </cell>
          <cell r="AK75">
            <v>0</v>
          </cell>
          <cell r="AL75">
            <v>0</v>
          </cell>
          <cell r="AO75">
            <v>0</v>
          </cell>
          <cell r="AP75">
            <v>0</v>
          </cell>
        </row>
        <row r="76">
          <cell r="B76">
            <v>40483</v>
          </cell>
          <cell r="E76">
            <v>0</v>
          </cell>
          <cell r="F76">
            <v>0</v>
          </cell>
          <cell r="I76">
            <v>0</v>
          </cell>
          <cell r="J76">
            <v>0</v>
          </cell>
          <cell r="M76">
            <v>0</v>
          </cell>
          <cell r="N76">
            <v>0</v>
          </cell>
          <cell r="Q76">
            <v>0</v>
          </cell>
          <cell r="R76">
            <v>0</v>
          </cell>
          <cell r="U76">
            <v>0</v>
          </cell>
          <cell r="V76">
            <v>0</v>
          </cell>
          <cell r="Y76">
            <v>0</v>
          </cell>
          <cell r="Z76">
            <v>0</v>
          </cell>
          <cell r="AC76">
            <v>0</v>
          </cell>
          <cell r="AD76">
            <v>0</v>
          </cell>
          <cell r="AG76">
            <v>0</v>
          </cell>
          <cell r="AH76">
            <v>0</v>
          </cell>
          <cell r="AK76">
            <v>0</v>
          </cell>
          <cell r="AL76">
            <v>0</v>
          </cell>
          <cell r="AO76">
            <v>0</v>
          </cell>
          <cell r="AP76">
            <v>0</v>
          </cell>
        </row>
        <row r="77">
          <cell r="B77">
            <v>40513</v>
          </cell>
          <cell r="E77">
            <v>0</v>
          </cell>
          <cell r="F77">
            <v>0</v>
          </cell>
          <cell r="I77">
            <v>0</v>
          </cell>
          <cell r="J77">
            <v>0</v>
          </cell>
          <cell r="M77">
            <v>0</v>
          </cell>
          <cell r="N77">
            <v>0</v>
          </cell>
          <cell r="Q77">
            <v>0</v>
          </cell>
          <cell r="R77">
            <v>0</v>
          </cell>
          <cell r="U77">
            <v>0</v>
          </cell>
          <cell r="V77">
            <v>0</v>
          </cell>
          <cell r="Y77">
            <v>0</v>
          </cell>
          <cell r="Z77">
            <v>0</v>
          </cell>
          <cell r="AC77">
            <v>0</v>
          </cell>
          <cell r="AD77">
            <v>0</v>
          </cell>
          <cell r="AG77">
            <v>0</v>
          </cell>
          <cell r="AH77">
            <v>0</v>
          </cell>
          <cell r="AK77">
            <v>0</v>
          </cell>
          <cell r="AL77">
            <v>0</v>
          </cell>
          <cell r="AO77">
            <v>0</v>
          </cell>
          <cell r="AP77">
            <v>0</v>
          </cell>
        </row>
        <row r="78">
          <cell r="B78">
            <v>40544</v>
          </cell>
          <cell r="E78">
            <v>0</v>
          </cell>
          <cell r="F78">
            <v>0</v>
          </cell>
          <cell r="I78">
            <v>0</v>
          </cell>
          <cell r="J78">
            <v>0</v>
          </cell>
          <cell r="M78">
            <v>0</v>
          </cell>
          <cell r="N78">
            <v>0</v>
          </cell>
          <cell r="Q78">
            <v>0</v>
          </cell>
          <cell r="R78">
            <v>0</v>
          </cell>
          <cell r="U78">
            <v>0</v>
          </cell>
          <cell r="V78">
            <v>0</v>
          </cell>
          <cell r="Y78">
            <v>0</v>
          </cell>
          <cell r="Z78">
            <v>0</v>
          </cell>
          <cell r="AC78">
            <v>0</v>
          </cell>
          <cell r="AD78">
            <v>0</v>
          </cell>
          <cell r="AG78">
            <v>0</v>
          </cell>
          <cell r="AH78">
            <v>0</v>
          </cell>
          <cell r="AK78">
            <v>0</v>
          </cell>
          <cell r="AL78">
            <v>0</v>
          </cell>
          <cell r="AO78">
            <v>0</v>
          </cell>
          <cell r="AP78">
            <v>0</v>
          </cell>
        </row>
        <row r="79">
          <cell r="B79">
            <v>40575</v>
          </cell>
          <cell r="E79">
            <v>0</v>
          </cell>
          <cell r="F79">
            <v>0</v>
          </cell>
          <cell r="I79">
            <v>0</v>
          </cell>
          <cell r="J79">
            <v>0</v>
          </cell>
          <cell r="M79">
            <v>0</v>
          </cell>
          <cell r="N79">
            <v>0</v>
          </cell>
          <cell r="Q79">
            <v>0</v>
          </cell>
          <cell r="R79">
            <v>0</v>
          </cell>
          <cell r="U79">
            <v>0</v>
          </cell>
          <cell r="V79">
            <v>0</v>
          </cell>
          <cell r="Y79">
            <v>0</v>
          </cell>
          <cell r="Z79">
            <v>0</v>
          </cell>
          <cell r="AC79">
            <v>0</v>
          </cell>
          <cell r="AD79">
            <v>0</v>
          </cell>
          <cell r="AG79">
            <v>0</v>
          </cell>
          <cell r="AH79">
            <v>0</v>
          </cell>
          <cell r="AK79">
            <v>0</v>
          </cell>
          <cell r="AL79">
            <v>0</v>
          </cell>
          <cell r="AO79">
            <v>0</v>
          </cell>
          <cell r="AP79">
            <v>0</v>
          </cell>
        </row>
        <row r="80">
          <cell r="B80">
            <v>40603</v>
          </cell>
          <cell r="E80">
            <v>0</v>
          </cell>
          <cell r="F80">
            <v>0</v>
          </cell>
          <cell r="I80">
            <v>0</v>
          </cell>
          <cell r="J80">
            <v>0</v>
          </cell>
          <cell r="M80">
            <v>0</v>
          </cell>
          <cell r="N80">
            <v>0</v>
          </cell>
          <cell r="Q80">
            <v>0</v>
          </cell>
          <cell r="R80">
            <v>0</v>
          </cell>
          <cell r="U80">
            <v>0</v>
          </cell>
          <cell r="V80">
            <v>0</v>
          </cell>
          <cell r="Y80">
            <v>0</v>
          </cell>
          <cell r="Z80">
            <v>0</v>
          </cell>
          <cell r="AC80">
            <v>0</v>
          </cell>
          <cell r="AD80">
            <v>0</v>
          </cell>
          <cell r="AG80">
            <v>0</v>
          </cell>
          <cell r="AH80">
            <v>0</v>
          </cell>
          <cell r="AK80">
            <v>0</v>
          </cell>
          <cell r="AL80">
            <v>0</v>
          </cell>
          <cell r="AO80">
            <v>0</v>
          </cell>
          <cell r="AP80">
            <v>0</v>
          </cell>
        </row>
        <row r="81">
          <cell r="B81">
            <v>40634</v>
          </cell>
          <cell r="E81">
            <v>0</v>
          </cell>
          <cell r="F81">
            <v>0</v>
          </cell>
          <cell r="I81">
            <v>0</v>
          </cell>
          <cell r="J81">
            <v>0</v>
          </cell>
          <cell r="M81">
            <v>0</v>
          </cell>
          <cell r="N81">
            <v>0</v>
          </cell>
          <cell r="Q81">
            <v>0</v>
          </cell>
          <cell r="R81">
            <v>0</v>
          </cell>
          <cell r="U81">
            <v>0</v>
          </cell>
          <cell r="V81">
            <v>0</v>
          </cell>
          <cell r="Y81">
            <v>0</v>
          </cell>
          <cell r="Z81">
            <v>0</v>
          </cell>
          <cell r="AC81">
            <v>0</v>
          </cell>
          <cell r="AD81">
            <v>0</v>
          </cell>
          <cell r="AG81">
            <v>0</v>
          </cell>
          <cell r="AH81">
            <v>0</v>
          </cell>
          <cell r="AK81">
            <v>0</v>
          </cell>
          <cell r="AL81">
            <v>0</v>
          </cell>
          <cell r="AO81">
            <v>0</v>
          </cell>
          <cell r="AP81">
            <v>0</v>
          </cell>
        </row>
        <row r="82">
          <cell r="B82">
            <v>40664</v>
          </cell>
          <cell r="E82">
            <v>0</v>
          </cell>
          <cell r="F82">
            <v>0</v>
          </cell>
          <cell r="I82">
            <v>0</v>
          </cell>
          <cell r="J82">
            <v>0</v>
          </cell>
          <cell r="M82">
            <v>0</v>
          </cell>
          <cell r="N82">
            <v>0</v>
          </cell>
          <cell r="Q82">
            <v>0</v>
          </cell>
          <cell r="R82">
            <v>0</v>
          </cell>
          <cell r="U82">
            <v>0</v>
          </cell>
          <cell r="V82">
            <v>0</v>
          </cell>
          <cell r="Y82">
            <v>0</v>
          </cell>
          <cell r="Z82">
            <v>0</v>
          </cell>
          <cell r="AC82">
            <v>0</v>
          </cell>
          <cell r="AD82">
            <v>0</v>
          </cell>
          <cell r="AG82">
            <v>0</v>
          </cell>
          <cell r="AH82">
            <v>0</v>
          </cell>
          <cell r="AK82">
            <v>0</v>
          </cell>
          <cell r="AL82">
            <v>0</v>
          </cell>
          <cell r="AO82">
            <v>0</v>
          </cell>
          <cell r="AP82">
            <v>0</v>
          </cell>
        </row>
        <row r="83">
          <cell r="B83">
            <v>40695</v>
          </cell>
          <cell r="E83">
            <v>0</v>
          </cell>
          <cell r="F83">
            <v>0</v>
          </cell>
          <cell r="I83">
            <v>0</v>
          </cell>
          <cell r="J83">
            <v>0</v>
          </cell>
          <cell r="M83">
            <v>0</v>
          </cell>
          <cell r="N83">
            <v>0</v>
          </cell>
          <cell r="Q83">
            <v>0</v>
          </cell>
          <cell r="R83">
            <v>0</v>
          </cell>
          <cell r="U83">
            <v>0</v>
          </cell>
          <cell r="V83">
            <v>0</v>
          </cell>
          <cell r="Y83">
            <v>0</v>
          </cell>
          <cell r="Z83">
            <v>0</v>
          </cell>
          <cell r="AC83">
            <v>0</v>
          </cell>
          <cell r="AD83">
            <v>0</v>
          </cell>
          <cell r="AG83">
            <v>0</v>
          </cell>
          <cell r="AH83">
            <v>0</v>
          </cell>
          <cell r="AK83">
            <v>0</v>
          </cell>
          <cell r="AL83">
            <v>0</v>
          </cell>
          <cell r="AO83">
            <v>0</v>
          </cell>
          <cell r="AP83">
            <v>0</v>
          </cell>
        </row>
        <row r="84">
          <cell r="B84">
            <v>40725</v>
          </cell>
          <cell r="E84">
            <v>0</v>
          </cell>
          <cell r="F84">
            <v>0</v>
          </cell>
          <cell r="I84">
            <v>0</v>
          </cell>
          <cell r="J84">
            <v>0</v>
          </cell>
          <cell r="M84">
            <v>0</v>
          </cell>
          <cell r="N84">
            <v>0</v>
          </cell>
          <cell r="Q84">
            <v>0</v>
          </cell>
          <cell r="R84">
            <v>0</v>
          </cell>
          <cell r="U84">
            <v>0</v>
          </cell>
          <cell r="V84">
            <v>0</v>
          </cell>
          <cell r="Y84">
            <v>0</v>
          </cell>
          <cell r="Z84">
            <v>0</v>
          </cell>
          <cell r="AC84">
            <v>0</v>
          </cell>
          <cell r="AD84">
            <v>0</v>
          </cell>
          <cell r="AG84">
            <v>0</v>
          </cell>
          <cell r="AH84">
            <v>0</v>
          </cell>
          <cell r="AK84">
            <v>0</v>
          </cell>
          <cell r="AL84">
            <v>0</v>
          </cell>
          <cell r="AO84">
            <v>0</v>
          </cell>
          <cell r="AP84">
            <v>0</v>
          </cell>
        </row>
        <row r="85">
          <cell r="B85">
            <v>40756</v>
          </cell>
          <cell r="E85">
            <v>0</v>
          </cell>
          <cell r="F85">
            <v>0</v>
          </cell>
          <cell r="I85">
            <v>0</v>
          </cell>
          <cell r="J85">
            <v>0</v>
          </cell>
          <cell r="M85">
            <v>0</v>
          </cell>
          <cell r="N85">
            <v>0</v>
          </cell>
          <cell r="Q85">
            <v>0</v>
          </cell>
          <cell r="R85">
            <v>0</v>
          </cell>
          <cell r="U85">
            <v>0</v>
          </cell>
          <cell r="V85">
            <v>0</v>
          </cell>
          <cell r="Y85">
            <v>0</v>
          </cell>
          <cell r="Z85">
            <v>0</v>
          </cell>
          <cell r="AC85">
            <v>0</v>
          </cell>
          <cell r="AD85">
            <v>0</v>
          </cell>
          <cell r="AG85">
            <v>0</v>
          </cell>
          <cell r="AH85">
            <v>0</v>
          </cell>
          <cell r="AK85">
            <v>0</v>
          </cell>
          <cell r="AL85">
            <v>0</v>
          </cell>
          <cell r="AO85">
            <v>0</v>
          </cell>
          <cell r="AP85">
            <v>0</v>
          </cell>
        </row>
        <row r="86">
          <cell r="B86">
            <v>40787</v>
          </cell>
          <cell r="E86">
            <v>0</v>
          </cell>
          <cell r="F86">
            <v>0</v>
          </cell>
          <cell r="I86">
            <v>0</v>
          </cell>
          <cell r="J86">
            <v>0</v>
          </cell>
          <cell r="M86">
            <v>0</v>
          </cell>
          <cell r="N86">
            <v>0</v>
          </cell>
          <cell r="Q86">
            <v>0</v>
          </cell>
          <cell r="R86">
            <v>0</v>
          </cell>
          <cell r="U86">
            <v>0</v>
          </cell>
          <cell r="V86">
            <v>0</v>
          </cell>
          <cell r="Y86">
            <v>0</v>
          </cell>
          <cell r="Z86">
            <v>0</v>
          </cell>
          <cell r="AC86">
            <v>0</v>
          </cell>
          <cell r="AD86">
            <v>0</v>
          </cell>
          <cell r="AG86">
            <v>0</v>
          </cell>
          <cell r="AH86">
            <v>0</v>
          </cell>
          <cell r="AK86">
            <v>0</v>
          </cell>
          <cell r="AL86">
            <v>0</v>
          </cell>
          <cell r="AO86">
            <v>0</v>
          </cell>
          <cell r="AP86">
            <v>0</v>
          </cell>
        </row>
        <row r="87">
          <cell r="B87">
            <v>40817</v>
          </cell>
          <cell r="E87">
            <v>0</v>
          </cell>
          <cell r="F87">
            <v>0</v>
          </cell>
          <cell r="I87">
            <v>0</v>
          </cell>
          <cell r="J87">
            <v>0</v>
          </cell>
          <cell r="M87">
            <v>0</v>
          </cell>
          <cell r="N87">
            <v>0</v>
          </cell>
          <cell r="Q87">
            <v>0</v>
          </cell>
          <cell r="R87">
            <v>0</v>
          </cell>
          <cell r="U87">
            <v>0</v>
          </cell>
          <cell r="V87">
            <v>0</v>
          </cell>
          <cell r="Y87">
            <v>0</v>
          </cell>
          <cell r="Z87">
            <v>0</v>
          </cell>
          <cell r="AC87">
            <v>0</v>
          </cell>
          <cell r="AD87">
            <v>0</v>
          </cell>
          <cell r="AG87">
            <v>0</v>
          </cell>
          <cell r="AH87">
            <v>0</v>
          </cell>
          <cell r="AK87">
            <v>0</v>
          </cell>
          <cell r="AL87">
            <v>0</v>
          </cell>
          <cell r="AO87">
            <v>0</v>
          </cell>
          <cell r="AP87">
            <v>0</v>
          </cell>
        </row>
        <row r="88">
          <cell r="B88">
            <v>40848</v>
          </cell>
          <cell r="E88">
            <v>0</v>
          </cell>
          <cell r="F88">
            <v>0</v>
          </cell>
          <cell r="I88">
            <v>0</v>
          </cell>
          <cell r="J88">
            <v>0</v>
          </cell>
          <cell r="M88">
            <v>0</v>
          </cell>
          <cell r="N88">
            <v>0</v>
          </cell>
          <cell r="Q88">
            <v>0</v>
          </cell>
          <cell r="R88">
            <v>0</v>
          </cell>
          <cell r="U88">
            <v>0</v>
          </cell>
          <cell r="V88">
            <v>0</v>
          </cell>
          <cell r="Y88">
            <v>0</v>
          </cell>
          <cell r="Z88">
            <v>0</v>
          </cell>
          <cell r="AC88">
            <v>0</v>
          </cell>
          <cell r="AD88">
            <v>0</v>
          </cell>
          <cell r="AG88">
            <v>0</v>
          </cell>
          <cell r="AH88">
            <v>0</v>
          </cell>
          <cell r="AK88">
            <v>0</v>
          </cell>
          <cell r="AL88">
            <v>0</v>
          </cell>
          <cell r="AO88">
            <v>0</v>
          </cell>
          <cell r="AP88">
            <v>0</v>
          </cell>
        </row>
        <row r="89">
          <cell r="B89">
            <v>40878</v>
          </cell>
          <cell r="E89">
            <v>0</v>
          </cell>
          <cell r="F89">
            <v>0</v>
          </cell>
          <cell r="I89">
            <v>0</v>
          </cell>
          <cell r="J89">
            <v>0</v>
          </cell>
          <cell r="M89">
            <v>0</v>
          </cell>
          <cell r="N89">
            <v>0</v>
          </cell>
          <cell r="Q89">
            <v>0</v>
          </cell>
          <cell r="R89">
            <v>0</v>
          </cell>
          <cell r="U89">
            <v>0</v>
          </cell>
          <cell r="V89">
            <v>0</v>
          </cell>
          <cell r="Y89">
            <v>0</v>
          </cell>
          <cell r="Z89">
            <v>0</v>
          </cell>
          <cell r="AC89">
            <v>0</v>
          </cell>
          <cell r="AD89">
            <v>0</v>
          </cell>
          <cell r="AG89">
            <v>0</v>
          </cell>
          <cell r="AH89">
            <v>0</v>
          </cell>
          <cell r="AK89">
            <v>0</v>
          </cell>
          <cell r="AL89">
            <v>0</v>
          </cell>
          <cell r="AO89">
            <v>0</v>
          </cell>
          <cell r="AP89">
            <v>0</v>
          </cell>
        </row>
        <row r="90">
          <cell r="B90">
            <v>40909</v>
          </cell>
          <cell r="E90">
            <v>0</v>
          </cell>
          <cell r="F90">
            <v>0</v>
          </cell>
          <cell r="I90">
            <v>0</v>
          </cell>
          <cell r="J90">
            <v>0</v>
          </cell>
          <cell r="M90">
            <v>0</v>
          </cell>
          <cell r="N90">
            <v>0</v>
          </cell>
          <cell r="Q90">
            <v>0</v>
          </cell>
          <cell r="R90">
            <v>0</v>
          </cell>
          <cell r="U90">
            <v>0</v>
          </cell>
          <cell r="V90">
            <v>0</v>
          </cell>
          <cell r="Y90">
            <v>0</v>
          </cell>
          <cell r="Z90">
            <v>0</v>
          </cell>
          <cell r="AC90">
            <v>0</v>
          </cell>
          <cell r="AD90">
            <v>0</v>
          </cell>
          <cell r="AG90">
            <v>0</v>
          </cell>
          <cell r="AH90">
            <v>0</v>
          </cell>
          <cell r="AK90">
            <v>0</v>
          </cell>
          <cell r="AL90">
            <v>0</v>
          </cell>
          <cell r="AO90">
            <v>0</v>
          </cell>
          <cell r="AP90">
            <v>0</v>
          </cell>
        </row>
        <row r="91">
          <cell r="B91">
            <v>40940</v>
          </cell>
          <cell r="E91">
            <v>0</v>
          </cell>
          <cell r="F91">
            <v>0</v>
          </cell>
          <cell r="I91">
            <v>0</v>
          </cell>
          <cell r="J91">
            <v>0</v>
          </cell>
          <cell r="M91">
            <v>0</v>
          </cell>
          <cell r="N91">
            <v>0</v>
          </cell>
          <cell r="Q91">
            <v>0</v>
          </cell>
          <cell r="R91">
            <v>0</v>
          </cell>
          <cell r="U91">
            <v>0</v>
          </cell>
          <cell r="V91">
            <v>0</v>
          </cell>
          <cell r="Y91">
            <v>0</v>
          </cell>
          <cell r="Z91">
            <v>0</v>
          </cell>
          <cell r="AC91">
            <v>0</v>
          </cell>
          <cell r="AD91">
            <v>0</v>
          </cell>
          <cell r="AG91">
            <v>0</v>
          </cell>
          <cell r="AH91">
            <v>0</v>
          </cell>
          <cell r="AK91">
            <v>0</v>
          </cell>
          <cell r="AL91">
            <v>0</v>
          </cell>
          <cell r="AO91">
            <v>0</v>
          </cell>
          <cell r="AP91">
            <v>0</v>
          </cell>
        </row>
        <row r="92">
          <cell r="B92">
            <v>40969</v>
          </cell>
          <cell r="E92">
            <v>0</v>
          </cell>
          <cell r="F92">
            <v>0</v>
          </cell>
          <cell r="I92">
            <v>0</v>
          </cell>
          <cell r="J92">
            <v>0</v>
          </cell>
          <cell r="M92">
            <v>0</v>
          </cell>
          <cell r="N92">
            <v>0</v>
          </cell>
          <cell r="Q92">
            <v>0</v>
          </cell>
          <cell r="R92">
            <v>0</v>
          </cell>
          <cell r="U92">
            <v>0</v>
          </cell>
          <cell r="V92">
            <v>0</v>
          </cell>
          <cell r="Y92">
            <v>0</v>
          </cell>
          <cell r="Z92">
            <v>0</v>
          </cell>
          <cell r="AC92">
            <v>0</v>
          </cell>
          <cell r="AD92">
            <v>0</v>
          </cell>
          <cell r="AG92">
            <v>0</v>
          </cell>
          <cell r="AH92">
            <v>0</v>
          </cell>
          <cell r="AK92">
            <v>0</v>
          </cell>
          <cell r="AL92">
            <v>0</v>
          </cell>
          <cell r="AO92">
            <v>0</v>
          </cell>
          <cell r="AP92">
            <v>0</v>
          </cell>
        </row>
        <row r="93">
          <cell r="B93">
            <v>41000</v>
          </cell>
          <cell r="E93">
            <v>0</v>
          </cell>
          <cell r="F93">
            <v>0</v>
          </cell>
          <cell r="I93">
            <v>0</v>
          </cell>
          <cell r="J93">
            <v>0</v>
          </cell>
          <cell r="M93">
            <v>0</v>
          </cell>
          <cell r="N93">
            <v>0</v>
          </cell>
          <cell r="Q93">
            <v>0</v>
          </cell>
          <cell r="R93">
            <v>0</v>
          </cell>
          <cell r="U93">
            <v>0</v>
          </cell>
          <cell r="V93">
            <v>0</v>
          </cell>
          <cell r="Y93">
            <v>0</v>
          </cell>
          <cell r="Z93">
            <v>0</v>
          </cell>
          <cell r="AC93">
            <v>0</v>
          </cell>
          <cell r="AD93">
            <v>0</v>
          </cell>
          <cell r="AG93">
            <v>0</v>
          </cell>
          <cell r="AH93">
            <v>0</v>
          </cell>
          <cell r="AK93">
            <v>0</v>
          </cell>
          <cell r="AL93">
            <v>0</v>
          </cell>
          <cell r="AO93">
            <v>0</v>
          </cell>
          <cell r="AP93">
            <v>0</v>
          </cell>
        </row>
        <row r="94">
          <cell r="B94">
            <v>41030</v>
          </cell>
          <cell r="E94">
            <v>0</v>
          </cell>
          <cell r="F94">
            <v>0</v>
          </cell>
          <cell r="I94">
            <v>0</v>
          </cell>
          <cell r="J94">
            <v>0</v>
          </cell>
          <cell r="M94">
            <v>0</v>
          </cell>
          <cell r="N94">
            <v>0</v>
          </cell>
          <cell r="Q94">
            <v>0</v>
          </cell>
          <cell r="R94">
            <v>0</v>
          </cell>
          <cell r="U94">
            <v>0</v>
          </cell>
          <cell r="V94">
            <v>0</v>
          </cell>
          <cell r="Y94">
            <v>0</v>
          </cell>
          <cell r="Z94">
            <v>0</v>
          </cell>
          <cell r="AC94">
            <v>0</v>
          </cell>
          <cell r="AD94">
            <v>0</v>
          </cell>
          <cell r="AG94">
            <v>0</v>
          </cell>
          <cell r="AH94">
            <v>0</v>
          </cell>
          <cell r="AK94">
            <v>0</v>
          </cell>
          <cell r="AL94">
            <v>0</v>
          </cell>
          <cell r="AO94">
            <v>0</v>
          </cell>
          <cell r="AP94">
            <v>0</v>
          </cell>
        </row>
        <row r="95">
          <cell r="B95">
            <v>41061</v>
          </cell>
          <cell r="E95">
            <v>0</v>
          </cell>
          <cell r="F95">
            <v>0</v>
          </cell>
          <cell r="I95">
            <v>0</v>
          </cell>
          <cell r="J95">
            <v>0</v>
          </cell>
          <cell r="M95">
            <v>0</v>
          </cell>
          <cell r="N95">
            <v>0</v>
          </cell>
          <cell r="Q95">
            <v>0</v>
          </cell>
          <cell r="R95">
            <v>0</v>
          </cell>
          <cell r="U95">
            <v>0</v>
          </cell>
          <cell r="V95">
            <v>0</v>
          </cell>
          <cell r="Y95">
            <v>0</v>
          </cell>
          <cell r="Z95">
            <v>0</v>
          </cell>
          <cell r="AC95">
            <v>0</v>
          </cell>
          <cell r="AD95">
            <v>0</v>
          </cell>
          <cell r="AG95">
            <v>0</v>
          </cell>
          <cell r="AH95">
            <v>0</v>
          </cell>
          <cell r="AK95">
            <v>0</v>
          </cell>
          <cell r="AL95">
            <v>0</v>
          </cell>
          <cell r="AO95">
            <v>0</v>
          </cell>
          <cell r="AP95">
            <v>0</v>
          </cell>
        </row>
        <row r="96">
          <cell r="B96">
            <v>41091</v>
          </cell>
          <cell r="E96">
            <v>0</v>
          </cell>
          <cell r="F96">
            <v>0</v>
          </cell>
          <cell r="I96">
            <v>0</v>
          </cell>
          <cell r="J96">
            <v>0</v>
          </cell>
          <cell r="M96">
            <v>0</v>
          </cell>
          <cell r="N96">
            <v>0</v>
          </cell>
          <cell r="Q96">
            <v>0</v>
          </cell>
          <cell r="R96">
            <v>0</v>
          </cell>
          <cell r="U96">
            <v>0</v>
          </cell>
          <cell r="V96">
            <v>0</v>
          </cell>
          <cell r="Y96">
            <v>0</v>
          </cell>
          <cell r="Z96">
            <v>0</v>
          </cell>
          <cell r="AC96">
            <v>0</v>
          </cell>
          <cell r="AD96">
            <v>0</v>
          </cell>
          <cell r="AG96">
            <v>0</v>
          </cell>
          <cell r="AH96">
            <v>0</v>
          </cell>
          <cell r="AK96">
            <v>0</v>
          </cell>
          <cell r="AL96">
            <v>0</v>
          </cell>
          <cell r="AO96">
            <v>0</v>
          </cell>
          <cell r="AP96">
            <v>0</v>
          </cell>
        </row>
        <row r="97">
          <cell r="B97">
            <v>41122</v>
          </cell>
          <cell r="E97">
            <v>0</v>
          </cell>
          <cell r="F97">
            <v>0</v>
          </cell>
          <cell r="I97">
            <v>0</v>
          </cell>
          <cell r="J97">
            <v>0</v>
          </cell>
          <cell r="M97">
            <v>0</v>
          </cell>
          <cell r="N97">
            <v>0</v>
          </cell>
          <cell r="Q97">
            <v>0</v>
          </cell>
          <cell r="R97">
            <v>0</v>
          </cell>
          <cell r="U97">
            <v>0</v>
          </cell>
          <cell r="V97">
            <v>0</v>
          </cell>
          <cell r="Y97">
            <v>0</v>
          </cell>
          <cell r="Z97">
            <v>0</v>
          </cell>
          <cell r="AC97">
            <v>0</v>
          </cell>
          <cell r="AD97">
            <v>0</v>
          </cell>
          <cell r="AG97">
            <v>0</v>
          </cell>
          <cell r="AH97">
            <v>0</v>
          </cell>
          <cell r="AK97">
            <v>0</v>
          </cell>
          <cell r="AL97">
            <v>0</v>
          </cell>
          <cell r="AO97">
            <v>0</v>
          </cell>
          <cell r="AP97">
            <v>0</v>
          </cell>
        </row>
        <row r="98">
          <cell r="B98">
            <v>41153</v>
          </cell>
          <cell r="E98">
            <v>0</v>
          </cell>
          <cell r="F98">
            <v>0</v>
          </cell>
          <cell r="I98">
            <v>0</v>
          </cell>
          <cell r="J98">
            <v>0</v>
          </cell>
          <cell r="M98">
            <v>0</v>
          </cell>
          <cell r="N98">
            <v>0</v>
          </cell>
          <cell r="Q98">
            <v>0</v>
          </cell>
          <cell r="R98">
            <v>0</v>
          </cell>
          <cell r="U98">
            <v>0</v>
          </cell>
          <cell r="V98">
            <v>0</v>
          </cell>
          <cell r="Y98">
            <v>0</v>
          </cell>
          <cell r="Z98">
            <v>0</v>
          </cell>
          <cell r="AC98">
            <v>0</v>
          </cell>
          <cell r="AD98">
            <v>0</v>
          </cell>
          <cell r="AG98">
            <v>0</v>
          </cell>
          <cell r="AH98">
            <v>0</v>
          </cell>
          <cell r="AK98">
            <v>0</v>
          </cell>
          <cell r="AL98">
            <v>0</v>
          </cell>
          <cell r="AO98">
            <v>0</v>
          </cell>
          <cell r="AP98">
            <v>0</v>
          </cell>
        </row>
        <row r="99">
          <cell r="B99">
            <v>41183</v>
          </cell>
          <cell r="E99">
            <v>0</v>
          </cell>
          <cell r="F99">
            <v>0</v>
          </cell>
          <cell r="I99">
            <v>0</v>
          </cell>
          <cell r="J99">
            <v>0</v>
          </cell>
          <cell r="M99">
            <v>0</v>
          </cell>
          <cell r="N99">
            <v>0</v>
          </cell>
          <cell r="Q99">
            <v>0</v>
          </cell>
          <cell r="R99">
            <v>0</v>
          </cell>
          <cell r="U99">
            <v>0</v>
          </cell>
          <cell r="V99">
            <v>0</v>
          </cell>
          <cell r="Y99">
            <v>0</v>
          </cell>
          <cell r="Z99">
            <v>0</v>
          </cell>
          <cell r="AC99">
            <v>0</v>
          </cell>
          <cell r="AD99">
            <v>0</v>
          </cell>
          <cell r="AG99">
            <v>0</v>
          </cell>
          <cell r="AH99">
            <v>0</v>
          </cell>
          <cell r="AK99">
            <v>0</v>
          </cell>
          <cell r="AL99">
            <v>0</v>
          </cell>
          <cell r="AO99">
            <v>0</v>
          </cell>
          <cell r="AP99">
            <v>0</v>
          </cell>
        </row>
        <row r="100">
          <cell r="B100">
            <v>41214</v>
          </cell>
          <cell r="E100">
            <v>0</v>
          </cell>
          <cell r="F100">
            <v>0</v>
          </cell>
          <cell r="I100">
            <v>0</v>
          </cell>
          <cell r="J100">
            <v>0</v>
          </cell>
          <cell r="M100">
            <v>0</v>
          </cell>
          <cell r="N100">
            <v>0</v>
          </cell>
          <cell r="Q100">
            <v>0</v>
          </cell>
          <cell r="R100">
            <v>0</v>
          </cell>
          <cell r="U100">
            <v>0</v>
          </cell>
          <cell r="V100">
            <v>0</v>
          </cell>
          <cell r="Y100">
            <v>0</v>
          </cell>
          <cell r="Z100">
            <v>0</v>
          </cell>
          <cell r="AC100">
            <v>0</v>
          </cell>
          <cell r="AD100">
            <v>0</v>
          </cell>
          <cell r="AG100">
            <v>0</v>
          </cell>
          <cell r="AH100">
            <v>0</v>
          </cell>
          <cell r="AK100">
            <v>0</v>
          </cell>
          <cell r="AL100">
            <v>0</v>
          </cell>
          <cell r="AO100">
            <v>0</v>
          </cell>
          <cell r="AP100">
            <v>0</v>
          </cell>
        </row>
        <row r="101">
          <cell r="B101">
            <v>41244</v>
          </cell>
          <cell r="E101">
            <v>0</v>
          </cell>
          <cell r="F101">
            <v>0</v>
          </cell>
          <cell r="I101">
            <v>0</v>
          </cell>
          <cell r="J101">
            <v>0</v>
          </cell>
          <cell r="M101">
            <v>0</v>
          </cell>
          <cell r="N101">
            <v>0</v>
          </cell>
          <cell r="Q101">
            <v>0</v>
          </cell>
          <cell r="R101">
            <v>0</v>
          </cell>
          <cell r="U101">
            <v>0</v>
          </cell>
          <cell r="V101">
            <v>0</v>
          </cell>
          <cell r="Y101">
            <v>0</v>
          </cell>
          <cell r="Z101">
            <v>0</v>
          </cell>
          <cell r="AC101">
            <v>0</v>
          </cell>
          <cell r="AD101">
            <v>0</v>
          </cell>
          <cell r="AG101">
            <v>0</v>
          </cell>
          <cell r="AH101">
            <v>0</v>
          </cell>
          <cell r="AK101">
            <v>0</v>
          </cell>
          <cell r="AL101">
            <v>0</v>
          </cell>
          <cell r="AO101">
            <v>0</v>
          </cell>
          <cell r="AP101">
            <v>0</v>
          </cell>
        </row>
      </sheetData>
      <sheetData sheetId="21" refreshError="1"/>
      <sheetData sheetId="22" refreshError="1"/>
      <sheetData sheetId="23"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omp_Verbas"/>
      <sheetName val="Resumo_Gastos"/>
      <sheetName val="Rateio_Fiscalização"/>
      <sheetName val="CEMASC"/>
      <sheetName val="Eve_CEMASC"/>
      <sheetName val="CEMF"/>
      <sheetName val="Res_CEMF"/>
      <sheetName val="Ev_CEMF"/>
      <sheetName val="CFLCB_FN"/>
      <sheetName val="Ev_CFLCB"/>
      <sheetName val="DC+DE_ Ajuste Final"/>
      <sheetName val="Cust_Desmob"/>
    </sheetNames>
    <sheetDataSet>
      <sheetData sheetId="0"/>
      <sheetData sheetId="1"/>
      <sheetData sheetId="2"/>
      <sheetData sheetId="3"/>
      <sheetData sheetId="4"/>
      <sheetData sheetId="5">
        <row r="19">
          <cell r="G19">
            <v>457100669.49540001</v>
          </cell>
        </row>
      </sheetData>
      <sheetData sheetId="6"/>
      <sheetData sheetId="7"/>
      <sheetData sheetId="8"/>
      <sheetData sheetId="9"/>
      <sheetData sheetId="10"/>
      <sheetData sheetId="11"/>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2.bin"/><Relationship Id="rId1" Type="http://schemas.openxmlformats.org/officeDocument/2006/relationships/hyperlink" Target="javascript:__doPostBack('ctl00$MainContent$gvServicos$ctl05$lnkBtnCodigo','')"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138870-5957-4061-8D63-89DDF49D2D16}">
  <dimension ref="B1:F23"/>
  <sheetViews>
    <sheetView workbookViewId="0">
      <selection activeCell="E20" sqref="B2:E20"/>
    </sheetView>
  </sheetViews>
  <sheetFormatPr defaultColWidth="10" defaultRowHeight="13.8" x14ac:dyDescent="0.25"/>
  <cols>
    <col min="1" max="1" width="10" style="40"/>
    <col min="2" max="2" width="10.19921875" style="40" customWidth="1"/>
    <col min="3" max="3" width="58.19921875" style="40" customWidth="1"/>
    <col min="4" max="4" width="8.5" style="41" customWidth="1"/>
    <col min="5" max="5" width="12.69921875" style="41" customWidth="1"/>
    <col min="6" max="6" width="0" style="40" hidden="1" customWidth="1"/>
    <col min="7" max="16384" width="10" style="40"/>
  </cols>
  <sheetData>
    <row r="1" spans="2:6" ht="14.4" thickBot="1" x14ac:dyDescent="0.3"/>
    <row r="2" spans="2:6" s="43" customFormat="1" ht="15" customHeight="1" x14ac:dyDescent="0.25">
      <c r="B2" s="42" t="s">
        <v>706</v>
      </c>
      <c r="C2" s="304" t="s">
        <v>710</v>
      </c>
      <c r="D2" s="305"/>
      <c r="E2" s="306"/>
    </row>
    <row r="3" spans="2:6" s="43" customFormat="1" ht="15" customHeight="1" x14ac:dyDescent="0.25">
      <c r="B3" s="44">
        <v>44593</v>
      </c>
      <c r="C3" s="307"/>
      <c r="D3" s="308"/>
      <c r="E3" s="309"/>
    </row>
    <row r="4" spans="2:6" s="46" customFormat="1" ht="15" customHeight="1" thickBot="1" x14ac:dyDescent="0.3">
      <c r="B4" s="45"/>
      <c r="C4" s="310"/>
      <c r="D4" s="311"/>
      <c r="E4" s="312"/>
    </row>
    <row r="5" spans="2:6" s="46" customFormat="1" ht="13.2" x14ac:dyDescent="0.25">
      <c r="B5" s="313" t="s">
        <v>18</v>
      </c>
      <c r="C5" s="313" t="s">
        <v>707</v>
      </c>
      <c r="D5" s="315" t="s">
        <v>642</v>
      </c>
      <c r="E5" s="317" t="s">
        <v>708</v>
      </c>
    </row>
    <row r="6" spans="2:6" s="46" customFormat="1" ht="15.75" customHeight="1" thickBot="1" x14ac:dyDescent="0.3">
      <c r="B6" s="314"/>
      <c r="C6" s="314"/>
      <c r="D6" s="316"/>
      <c r="E6" s="318"/>
    </row>
    <row r="7" spans="2:6" s="46" customFormat="1" ht="13.2" x14ac:dyDescent="0.25">
      <c r="B7" s="47">
        <v>1</v>
      </c>
      <c r="C7" s="48" t="s">
        <v>33</v>
      </c>
      <c r="D7" s="49">
        <f>E7/$E$20</f>
        <v>3.7393029274027621E-2</v>
      </c>
      <c r="E7" s="60">
        <f>'Orçamento de Referencia '!I8*(1+'Cálculo BDI'!$E$32)</f>
        <v>135206.09100967422</v>
      </c>
      <c r="F7" s="50">
        <f>[11]Orçamento!$I$4</f>
        <v>153618.02000000002</v>
      </c>
    </row>
    <row r="8" spans="2:6" s="46" customFormat="1" ht="13.2" x14ac:dyDescent="0.25">
      <c r="B8" s="47">
        <v>2</v>
      </c>
      <c r="C8" s="48" t="s">
        <v>36</v>
      </c>
      <c r="D8" s="49">
        <f t="shared" ref="D8:D19" si="0">E8/$E$20</f>
        <v>1.0704122316640145E-2</v>
      </c>
      <c r="E8" s="60">
        <f>'Orçamento de Referencia '!I17*(1+'Cálculo BDI'!E32)</f>
        <v>38704.073037686976</v>
      </c>
      <c r="F8" s="50">
        <f>[11]Orçamento!$I$13</f>
        <v>16834.8072986238</v>
      </c>
    </row>
    <row r="9" spans="2:6" s="46" customFormat="1" ht="13.2" x14ac:dyDescent="0.25">
      <c r="B9" s="47">
        <v>3</v>
      </c>
      <c r="C9" s="48" t="s">
        <v>641</v>
      </c>
      <c r="D9" s="49">
        <f t="shared" si="0"/>
        <v>0.28603511862832603</v>
      </c>
      <c r="E9" s="60">
        <f>'Orçamento de Referencia '!I29*(1+'Cálculo BDI'!E32)</f>
        <v>1034248.6562886282</v>
      </c>
      <c r="F9" s="50">
        <f>[11]Orçamento!$I$23</f>
        <v>175387.63756000003</v>
      </c>
    </row>
    <row r="10" spans="2:6" s="46" customFormat="1" ht="13.2" x14ac:dyDescent="0.25">
      <c r="B10" s="47">
        <v>4</v>
      </c>
      <c r="C10" s="48" t="s">
        <v>452</v>
      </c>
      <c r="D10" s="49">
        <f t="shared" si="0"/>
        <v>6.5593957882618958E-2</v>
      </c>
      <c r="E10" s="60">
        <f>'Orçamento de Referencia '!I105*(1+'Cálculo BDI'!E32)</f>
        <v>237175.29206231289</v>
      </c>
      <c r="F10" s="50">
        <f>[11]Orçamento!$I$34</f>
        <v>145016.75157000002</v>
      </c>
    </row>
    <row r="11" spans="2:6" s="46" customFormat="1" ht="13.2" x14ac:dyDescent="0.25">
      <c r="B11" s="47">
        <v>5</v>
      </c>
      <c r="C11" s="48" t="s">
        <v>418</v>
      </c>
      <c r="D11" s="49">
        <f t="shared" si="0"/>
        <v>1.9230066666623101E-2</v>
      </c>
      <c r="E11" s="60">
        <f>'Orçamento de Referencia '!I142*(1+'Cálculo BDI'!E32)</f>
        <v>69532.268295135524</v>
      </c>
      <c r="F11" s="50">
        <f>[11]Orçamento!$I$98</f>
        <v>73286.409759999995</v>
      </c>
    </row>
    <row r="12" spans="2:6" s="46" customFormat="1" ht="13.2" x14ac:dyDescent="0.25">
      <c r="B12" s="47">
        <v>6</v>
      </c>
      <c r="C12" s="48" t="s">
        <v>417</v>
      </c>
      <c r="D12" s="49">
        <f t="shared" si="0"/>
        <v>5.2199349725470931E-3</v>
      </c>
      <c r="E12" s="60">
        <f>'Orçamento de Referencia '!I172*(1+'Cálculo BDI'!E32)</f>
        <v>18874.293328596243</v>
      </c>
      <c r="F12" s="50">
        <f>[11]Orçamento!$I$105</f>
        <v>28321.474500000011</v>
      </c>
    </row>
    <row r="13" spans="2:6" s="46" customFormat="1" ht="13.2" x14ac:dyDescent="0.25">
      <c r="B13" s="47">
        <v>7</v>
      </c>
      <c r="C13" s="48" t="s">
        <v>645</v>
      </c>
      <c r="D13" s="49">
        <f t="shared" si="0"/>
        <v>5.1322923535355947E-2</v>
      </c>
      <c r="E13" s="60">
        <f>'Orçamento de Referencia '!I177*(1+'Cálculo BDI'!E32)</f>
        <v>185573.94266058254</v>
      </c>
      <c r="F13" s="50">
        <f>[11]Orçamento!$I$110</f>
        <v>45040.433743699992</v>
      </c>
    </row>
    <row r="14" spans="2:6" s="46" customFormat="1" ht="13.2" x14ac:dyDescent="0.25">
      <c r="B14" s="47">
        <v>8</v>
      </c>
      <c r="C14" s="48" t="s">
        <v>1154</v>
      </c>
      <c r="D14" s="49">
        <f t="shared" si="0"/>
        <v>1.835273405428079E-3</v>
      </c>
      <c r="E14" s="60">
        <f>'Orçamento de Referencia '!I191*(1+'Cálculo BDI'!E32)</f>
        <v>6636.00002191575</v>
      </c>
      <c r="F14" s="50">
        <f>[11]Orçamento!$I$121</f>
        <v>34294.140700000004</v>
      </c>
    </row>
    <row r="15" spans="2:6" s="46" customFormat="1" ht="13.2" x14ac:dyDescent="0.25">
      <c r="B15" s="47">
        <v>9</v>
      </c>
      <c r="C15" s="48" t="s">
        <v>893</v>
      </c>
      <c r="D15" s="49">
        <f t="shared" si="0"/>
        <v>8.2744594408834544E-3</v>
      </c>
      <c r="E15" s="60">
        <f>'Orçamento de Referencia '!I197*(1+'Cálculo BDI'!E32)</f>
        <v>29918.873595967543</v>
      </c>
      <c r="F15" s="50">
        <f>[11]Orçamento!$I$139</f>
        <v>23950.046000000002</v>
      </c>
    </row>
    <row r="16" spans="2:6" s="46" customFormat="1" ht="13.2" x14ac:dyDescent="0.25">
      <c r="B16" s="47">
        <v>10</v>
      </c>
      <c r="C16" s="48" t="s">
        <v>901</v>
      </c>
      <c r="D16" s="49">
        <f t="shared" si="0"/>
        <v>0.14242736012952764</v>
      </c>
      <c r="E16" s="60">
        <f>'Orçamento de Referencia '!I207*(1+'Cálculo BDI'!E32)</f>
        <v>514990.28000162804</v>
      </c>
      <c r="F16" s="227"/>
    </row>
    <row r="17" spans="2:6" s="46" customFormat="1" ht="13.2" x14ac:dyDescent="0.25">
      <c r="B17" s="47">
        <v>11</v>
      </c>
      <c r="C17" s="48" t="s">
        <v>908</v>
      </c>
      <c r="D17" s="49">
        <f t="shared" si="0"/>
        <v>4.9619891565644489E-2</v>
      </c>
      <c r="E17" s="60">
        <f>'Orçamento de Referencia '!I217*(1+'Cálculo BDI'!E32)</f>
        <v>179416.10255081841</v>
      </c>
      <c r="F17" s="227"/>
    </row>
    <row r="18" spans="2:6" s="46" customFormat="1" ht="13.2" x14ac:dyDescent="0.25">
      <c r="B18" s="47">
        <v>12</v>
      </c>
      <c r="C18" s="48" t="s">
        <v>923</v>
      </c>
      <c r="D18" s="49">
        <f t="shared" si="0"/>
        <v>0.14628200031997585</v>
      </c>
      <c r="E18" s="60">
        <f>'Orçamento de Referencia '!I233*(1+'Cálculo BDI'!E32)</f>
        <v>528927.92673733342</v>
      </c>
      <c r="F18" s="227"/>
    </row>
    <row r="19" spans="2:6" s="46" customFormat="1" ht="13.2" x14ac:dyDescent="0.25">
      <c r="B19" s="47">
        <v>13</v>
      </c>
      <c r="C19" s="48" t="s">
        <v>552</v>
      </c>
      <c r="D19" s="49">
        <f t="shared" si="0"/>
        <v>0.1760618618624015</v>
      </c>
      <c r="E19" s="60">
        <f>'Orçamento de Referencia '!I253*(1+'Cálculo BDI'!E61)</f>
        <v>636606.24935874681</v>
      </c>
      <c r="F19" s="227"/>
    </row>
    <row r="20" spans="2:6" s="46" customFormat="1" ht="15" customHeight="1" thickBot="1" x14ac:dyDescent="0.3">
      <c r="B20" s="302" t="s">
        <v>709</v>
      </c>
      <c r="C20" s="303"/>
      <c r="D20" s="51">
        <f>SUM(D7:D19)</f>
        <v>0.99999999999999989</v>
      </c>
      <c r="E20" s="52">
        <f>SUM(E7:E19)</f>
        <v>3615810.048949027</v>
      </c>
    </row>
    <row r="23" spans="2:6" x14ac:dyDescent="0.25">
      <c r="E23" s="91"/>
    </row>
  </sheetData>
  <sheetProtection selectLockedCells="1" selectUnlockedCells="1"/>
  <mergeCells count="6">
    <mergeCell ref="B20:C20"/>
    <mergeCell ref="C2:E4"/>
    <mergeCell ref="B5:B6"/>
    <mergeCell ref="C5:C6"/>
    <mergeCell ref="D5:D6"/>
    <mergeCell ref="E5:E6"/>
  </mergeCells>
  <printOptions horizontalCentered="1" gridLines="1"/>
  <pageMargins left="0.78740157480314965" right="0.78740157480314965" top="1.3779527559055118" bottom="0.98425196850393704" header="0.51181102362204722" footer="0.31496062992125984"/>
  <pageSetup paperSize="9" orientation="landscape" horizontalDpi="4294967295" verticalDpi="300" r:id="rId1"/>
  <headerFooter alignWithMargins="0">
    <oddHeader>&amp;L&amp;G</oddHeader>
    <oddFooter>&amp;C&amp;8
&amp;RSEÇÃO II - &amp;P/&amp;N</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3EFA69-B2AC-4F52-89A3-5530CCDD609C}">
  <sheetPr>
    <pageSetUpPr fitToPage="1"/>
  </sheetPr>
  <dimension ref="A3:J275"/>
  <sheetViews>
    <sheetView tabSelected="1" showOutlineSymbols="0" zoomScale="80" zoomScaleNormal="80" workbookViewId="0">
      <selection activeCell="I269" sqref="B4:I269"/>
    </sheetView>
  </sheetViews>
  <sheetFormatPr defaultColWidth="9" defaultRowHeight="13.8" x14ac:dyDescent="0.25"/>
  <cols>
    <col min="1" max="1" width="16.19921875" style="104" customWidth="1"/>
    <col min="2" max="2" width="5.5" style="69" bestFit="1" customWidth="1"/>
    <col min="3" max="3" width="8.59765625" style="69" bestFit="1" customWidth="1"/>
    <col min="4" max="4" width="7.8984375" style="104" bestFit="1" customWidth="1"/>
    <col min="5" max="5" width="114.8984375" style="69" customWidth="1"/>
    <col min="6" max="6" width="6.8984375" style="76" customWidth="1"/>
    <col min="7" max="7" width="9.69921875" style="91" customWidth="1"/>
    <col min="8" max="9" width="11.59765625" style="170" customWidth="1"/>
    <col min="10" max="16384" width="9" style="69"/>
  </cols>
  <sheetData>
    <row r="3" spans="2:9" ht="14.4" thickBot="1" x14ac:dyDescent="0.3"/>
    <row r="4" spans="2:9" ht="17.399999999999999" x14ac:dyDescent="0.25">
      <c r="B4" s="325" t="s">
        <v>717</v>
      </c>
      <c r="C4" s="326"/>
      <c r="D4" s="326"/>
      <c r="E4" s="326"/>
      <c r="F4" s="326"/>
      <c r="G4" s="326"/>
      <c r="H4" s="326"/>
      <c r="I4" s="327"/>
    </row>
    <row r="5" spans="2:9" x14ac:dyDescent="0.25">
      <c r="B5" s="319" t="s">
        <v>924</v>
      </c>
      <c r="C5" s="320"/>
      <c r="D5" s="320"/>
      <c r="E5" s="320"/>
      <c r="F5" s="215"/>
      <c r="G5" s="321" t="s">
        <v>716</v>
      </c>
      <c r="H5" s="322"/>
      <c r="I5" s="301">
        <v>44593</v>
      </c>
    </row>
    <row r="6" spans="2:9" ht="14.4" thickBot="1" x14ac:dyDescent="0.3">
      <c r="B6" s="323" t="s">
        <v>711</v>
      </c>
      <c r="C6" s="324"/>
      <c r="D6" s="324"/>
      <c r="E6" s="324"/>
      <c r="F6" s="216"/>
      <c r="G6" s="217"/>
      <c r="H6" s="218"/>
      <c r="I6" s="219"/>
    </row>
    <row r="7" spans="2:9" ht="28.2" thickBot="1" x14ac:dyDescent="0.3">
      <c r="B7" s="53" t="s">
        <v>18</v>
      </c>
      <c r="C7" s="54" t="s">
        <v>712</v>
      </c>
      <c r="D7" s="168" t="s">
        <v>706</v>
      </c>
      <c r="E7" s="55" t="s">
        <v>713</v>
      </c>
      <c r="F7" s="56" t="s">
        <v>22</v>
      </c>
      <c r="G7" s="57" t="s">
        <v>23</v>
      </c>
      <c r="H7" s="171" t="s">
        <v>714</v>
      </c>
      <c r="I7" s="199" t="s">
        <v>715</v>
      </c>
    </row>
    <row r="8" spans="2:9" ht="16.5" customHeight="1" thickTop="1" x14ac:dyDescent="0.25">
      <c r="B8" s="173">
        <v>1</v>
      </c>
      <c r="C8" s="174"/>
      <c r="D8" s="174"/>
      <c r="E8" s="174" t="s">
        <v>33</v>
      </c>
      <c r="F8" s="175"/>
      <c r="G8" s="176"/>
      <c r="H8" s="177"/>
      <c r="I8" s="200">
        <f>SUM(I9:I15)</f>
        <v>108582.96</v>
      </c>
    </row>
    <row r="9" spans="2:9" ht="13.5" customHeight="1" x14ac:dyDescent="0.25">
      <c r="B9" s="92" t="s">
        <v>928</v>
      </c>
      <c r="C9" s="93">
        <v>90778</v>
      </c>
      <c r="D9" s="100" t="s">
        <v>1</v>
      </c>
      <c r="E9" s="94" t="s">
        <v>1243</v>
      </c>
      <c r="F9" s="95" t="s">
        <v>2</v>
      </c>
      <c r="G9" s="96">
        <f>4*4*8</f>
        <v>128</v>
      </c>
      <c r="H9" s="97">
        <v>91.99</v>
      </c>
      <c r="I9" s="113">
        <f>G9*H9</f>
        <v>11774.72</v>
      </c>
    </row>
    <row r="10" spans="2:9" ht="13.5" customHeight="1" x14ac:dyDescent="0.25">
      <c r="B10" s="92" t="s">
        <v>929</v>
      </c>
      <c r="C10" s="93">
        <v>91677</v>
      </c>
      <c r="D10" s="100" t="s">
        <v>1</v>
      </c>
      <c r="E10" s="94" t="s">
        <v>51</v>
      </c>
      <c r="F10" s="95" t="s">
        <v>2</v>
      </c>
      <c r="G10" s="96">
        <f>3*4*8</f>
        <v>96</v>
      </c>
      <c r="H10" s="97">
        <v>78.489999999999995</v>
      </c>
      <c r="I10" s="113">
        <f t="shared" ref="I10:I15" si="0">G10*H10</f>
        <v>7535.0399999999991</v>
      </c>
    </row>
    <row r="11" spans="2:9" x14ac:dyDescent="0.25">
      <c r="B11" s="92" t="s">
        <v>930</v>
      </c>
      <c r="C11" s="98" t="s">
        <v>49</v>
      </c>
      <c r="D11" s="99" t="s">
        <v>48</v>
      </c>
      <c r="E11" s="100" t="s">
        <v>50</v>
      </c>
      <c r="F11" s="95" t="s">
        <v>41</v>
      </c>
      <c r="G11" s="96">
        <v>4</v>
      </c>
      <c r="H11" s="97">
        <f>Composição!$I$8</f>
        <v>11690.4</v>
      </c>
      <c r="I11" s="113">
        <f t="shared" si="0"/>
        <v>46761.599999999999</v>
      </c>
    </row>
    <row r="12" spans="2:9" x14ac:dyDescent="0.25">
      <c r="B12" s="92" t="s">
        <v>931</v>
      </c>
      <c r="C12" s="98">
        <v>93572</v>
      </c>
      <c r="D12" s="100" t="s">
        <v>1</v>
      </c>
      <c r="E12" s="100" t="s">
        <v>925</v>
      </c>
      <c r="F12" s="112" t="s">
        <v>41</v>
      </c>
      <c r="G12" s="96">
        <v>4</v>
      </c>
      <c r="H12" s="97">
        <v>3671.61</v>
      </c>
      <c r="I12" s="113">
        <f t="shared" si="0"/>
        <v>14686.44</v>
      </c>
    </row>
    <row r="13" spans="2:9" x14ac:dyDescent="0.25">
      <c r="B13" s="92" t="s">
        <v>932</v>
      </c>
      <c r="C13" s="98">
        <v>93563</v>
      </c>
      <c r="D13" s="100" t="s">
        <v>1</v>
      </c>
      <c r="E13" s="100" t="s">
        <v>926</v>
      </c>
      <c r="F13" s="112" t="s">
        <v>41</v>
      </c>
      <c r="G13" s="96">
        <v>4</v>
      </c>
      <c r="H13" s="97">
        <v>2735.73</v>
      </c>
      <c r="I13" s="113">
        <f t="shared" si="0"/>
        <v>10942.92</v>
      </c>
    </row>
    <row r="14" spans="2:9" x14ac:dyDescent="0.25">
      <c r="B14" s="92" t="s">
        <v>933</v>
      </c>
      <c r="C14" s="98">
        <v>100321</v>
      </c>
      <c r="D14" s="100" t="s">
        <v>1</v>
      </c>
      <c r="E14" s="100" t="s">
        <v>927</v>
      </c>
      <c r="F14" s="103" t="s">
        <v>41</v>
      </c>
      <c r="G14" s="96">
        <v>4</v>
      </c>
      <c r="H14" s="97">
        <v>4020.56</v>
      </c>
      <c r="I14" s="113">
        <f t="shared" si="0"/>
        <v>16082.24</v>
      </c>
    </row>
    <row r="15" spans="2:9" x14ac:dyDescent="0.25">
      <c r="B15" s="92" t="s">
        <v>934</v>
      </c>
      <c r="C15" s="101">
        <v>10572</v>
      </c>
      <c r="D15" s="100" t="s">
        <v>9</v>
      </c>
      <c r="E15" s="94" t="s">
        <v>38</v>
      </c>
      <c r="F15" s="95" t="s">
        <v>7</v>
      </c>
      <c r="G15" s="96">
        <v>1</v>
      </c>
      <c r="H15" s="97">
        <v>800</v>
      </c>
      <c r="I15" s="113">
        <f t="shared" si="0"/>
        <v>800</v>
      </c>
    </row>
    <row r="16" spans="2:9" ht="5.25" customHeight="1" x14ac:dyDescent="0.25">
      <c r="B16" s="92"/>
      <c r="C16" s="101"/>
      <c r="D16" s="100"/>
      <c r="E16" s="94"/>
      <c r="F16" s="95"/>
      <c r="G16" s="96"/>
      <c r="H16" s="97"/>
      <c r="I16" s="113"/>
    </row>
    <row r="17" spans="1:9" x14ac:dyDescent="0.25">
      <c r="B17" s="178">
        <v>2</v>
      </c>
      <c r="C17" s="172"/>
      <c r="D17" s="172"/>
      <c r="E17" s="172" t="s">
        <v>36</v>
      </c>
      <c r="F17" s="179"/>
      <c r="G17" s="180"/>
      <c r="H17" s="181"/>
      <c r="I17" s="201">
        <f>SUM(I18:I27)</f>
        <v>31082.94</v>
      </c>
    </row>
    <row r="18" spans="1:9" x14ac:dyDescent="0.25">
      <c r="B18" s="158" t="s">
        <v>53</v>
      </c>
      <c r="C18" s="102"/>
      <c r="D18" s="99" t="s">
        <v>206</v>
      </c>
      <c r="E18" s="100" t="s">
        <v>823</v>
      </c>
      <c r="F18" s="103" t="s">
        <v>7</v>
      </c>
      <c r="G18" s="96">
        <v>2</v>
      </c>
      <c r="H18" s="97">
        <v>2500</v>
      </c>
      <c r="I18" s="113">
        <f>G18*H18</f>
        <v>5000</v>
      </c>
    </row>
    <row r="19" spans="1:9" x14ac:dyDescent="0.25">
      <c r="B19" s="158" t="s">
        <v>54</v>
      </c>
      <c r="C19" s="102"/>
      <c r="D19" s="99" t="s">
        <v>206</v>
      </c>
      <c r="E19" s="100" t="s">
        <v>824</v>
      </c>
      <c r="F19" s="103" t="s">
        <v>7</v>
      </c>
      <c r="G19" s="96">
        <v>1</v>
      </c>
      <c r="H19" s="97">
        <v>1900</v>
      </c>
      <c r="I19" s="113">
        <f t="shared" ref="I19:I27" si="1">G19*H19</f>
        <v>1900</v>
      </c>
    </row>
    <row r="20" spans="1:9" ht="39.6" x14ac:dyDescent="0.25">
      <c r="B20" s="158" t="s">
        <v>55</v>
      </c>
      <c r="C20" s="102"/>
      <c r="D20" s="99" t="s">
        <v>206</v>
      </c>
      <c r="E20" s="100" t="s">
        <v>819</v>
      </c>
      <c r="F20" s="103" t="s">
        <v>41</v>
      </c>
      <c r="G20" s="96">
        <v>4</v>
      </c>
      <c r="H20" s="97">
        <v>1000</v>
      </c>
      <c r="I20" s="113">
        <f t="shared" si="1"/>
        <v>4000</v>
      </c>
    </row>
    <row r="21" spans="1:9" ht="39.6" x14ac:dyDescent="0.25">
      <c r="B21" s="158" t="s">
        <v>56</v>
      </c>
      <c r="C21" s="102"/>
      <c r="D21" s="99" t="s">
        <v>206</v>
      </c>
      <c r="E21" s="100" t="s">
        <v>821</v>
      </c>
      <c r="F21" s="103" t="s">
        <v>41</v>
      </c>
      <c r="G21" s="96">
        <v>4</v>
      </c>
      <c r="H21" s="97">
        <v>1100</v>
      </c>
      <c r="I21" s="113">
        <f t="shared" si="1"/>
        <v>4400</v>
      </c>
    </row>
    <row r="22" spans="1:9" ht="26.4" x14ac:dyDescent="0.25">
      <c r="B22" s="158" t="s">
        <v>57</v>
      </c>
      <c r="C22" s="102"/>
      <c r="D22" s="99" t="s">
        <v>206</v>
      </c>
      <c r="E22" s="100" t="s">
        <v>820</v>
      </c>
      <c r="F22" s="103" t="s">
        <v>41</v>
      </c>
      <c r="G22" s="96">
        <v>4</v>
      </c>
      <c r="H22" s="97">
        <v>1000</v>
      </c>
      <c r="I22" s="113">
        <f t="shared" si="1"/>
        <v>4000</v>
      </c>
    </row>
    <row r="23" spans="1:9" ht="39.6" x14ac:dyDescent="0.25">
      <c r="B23" s="158" t="s">
        <v>58</v>
      </c>
      <c r="C23" s="102"/>
      <c r="D23" s="99" t="s">
        <v>206</v>
      </c>
      <c r="E23" s="100" t="s">
        <v>822</v>
      </c>
      <c r="F23" s="103" t="s">
        <v>41</v>
      </c>
      <c r="G23" s="96">
        <v>4</v>
      </c>
      <c r="H23" s="97">
        <v>1500</v>
      </c>
      <c r="I23" s="113">
        <f t="shared" si="1"/>
        <v>6000</v>
      </c>
    </row>
    <row r="24" spans="1:9" x14ac:dyDescent="0.25">
      <c r="B24" s="158" t="s">
        <v>59</v>
      </c>
      <c r="C24" s="102"/>
      <c r="D24" s="99" t="s">
        <v>206</v>
      </c>
      <c r="E24" s="100" t="s">
        <v>825</v>
      </c>
      <c r="F24" s="103" t="s">
        <v>7</v>
      </c>
      <c r="G24" s="96">
        <v>1</v>
      </c>
      <c r="H24" s="97">
        <v>1900</v>
      </c>
      <c r="I24" s="113">
        <f t="shared" si="1"/>
        <v>1900</v>
      </c>
    </row>
    <row r="25" spans="1:9" x14ac:dyDescent="0.25">
      <c r="B25" s="158" t="s">
        <v>65</v>
      </c>
      <c r="C25" s="102">
        <v>51</v>
      </c>
      <c r="D25" s="99" t="s">
        <v>9</v>
      </c>
      <c r="E25" s="100" t="s">
        <v>718</v>
      </c>
      <c r="F25" s="103" t="s">
        <v>37</v>
      </c>
      <c r="G25" s="96">
        <v>3</v>
      </c>
      <c r="H25" s="97">
        <v>346.26</v>
      </c>
      <c r="I25" s="113">
        <f t="shared" si="1"/>
        <v>1038.78</v>
      </c>
    </row>
    <row r="26" spans="1:9" x14ac:dyDescent="0.25">
      <c r="A26" s="197"/>
      <c r="B26" s="158" t="s">
        <v>826</v>
      </c>
      <c r="C26" s="98">
        <v>97064</v>
      </c>
      <c r="D26" s="99" t="s">
        <v>1</v>
      </c>
      <c r="E26" s="100" t="s">
        <v>39</v>
      </c>
      <c r="F26" s="103" t="s">
        <v>8</v>
      </c>
      <c r="G26" s="96">
        <f>27+20+(7*12.6)</f>
        <v>135.19999999999999</v>
      </c>
      <c r="H26" s="97">
        <v>12.05</v>
      </c>
      <c r="I26" s="113">
        <f t="shared" si="1"/>
        <v>1629.1599999999999</v>
      </c>
    </row>
    <row r="27" spans="1:9" ht="26.4" x14ac:dyDescent="0.25">
      <c r="A27" s="197"/>
      <c r="B27" s="158" t="s">
        <v>827</v>
      </c>
      <c r="C27" s="98">
        <v>10527</v>
      </c>
      <c r="D27" s="100" t="s">
        <v>1</v>
      </c>
      <c r="E27" s="100" t="s">
        <v>40</v>
      </c>
      <c r="F27" s="103" t="s">
        <v>104</v>
      </c>
      <c r="G27" s="96">
        <f>27*2</f>
        <v>54</v>
      </c>
      <c r="H27" s="97">
        <v>22.5</v>
      </c>
      <c r="I27" s="113">
        <f t="shared" si="1"/>
        <v>1215</v>
      </c>
    </row>
    <row r="28" spans="1:9" ht="5.25" customHeight="1" x14ac:dyDescent="0.25">
      <c r="A28" s="197"/>
      <c r="B28" s="92"/>
      <c r="C28" s="101"/>
      <c r="D28" s="100"/>
      <c r="E28" s="94"/>
      <c r="F28" s="95"/>
      <c r="G28" s="96"/>
      <c r="H28" s="97"/>
      <c r="I28" s="113"/>
    </row>
    <row r="29" spans="1:9" x14ac:dyDescent="0.25">
      <c r="A29" s="197"/>
      <c r="B29" s="178">
        <v>3</v>
      </c>
      <c r="C29" s="172"/>
      <c r="D29" s="172"/>
      <c r="E29" s="172" t="s">
        <v>641</v>
      </c>
      <c r="F29" s="179"/>
      <c r="G29" s="180"/>
      <c r="H29" s="181"/>
      <c r="I29" s="201">
        <f>SUM(I31:I103)</f>
        <v>830597.0510441463</v>
      </c>
    </row>
    <row r="30" spans="1:9" x14ac:dyDescent="0.25">
      <c r="A30" s="197"/>
      <c r="B30" s="105" t="s">
        <v>66</v>
      </c>
      <c r="C30" s="106"/>
      <c r="D30" s="117"/>
      <c r="E30" s="107" t="s">
        <v>304</v>
      </c>
      <c r="F30" s="108"/>
      <c r="G30" s="109"/>
      <c r="H30" s="121"/>
      <c r="I30" s="202"/>
    </row>
    <row r="31" spans="1:9" ht="26.4" x14ac:dyDescent="0.25">
      <c r="A31" s="197"/>
      <c r="B31" s="158" t="s">
        <v>307</v>
      </c>
      <c r="C31" s="110">
        <v>96562</v>
      </c>
      <c r="D31" s="111" t="s">
        <v>1</v>
      </c>
      <c r="E31" s="111" t="s">
        <v>828</v>
      </c>
      <c r="F31" s="103" t="s">
        <v>8</v>
      </c>
      <c r="G31" s="96">
        <v>500</v>
      </c>
      <c r="H31" s="97">
        <v>18.63</v>
      </c>
      <c r="I31" s="113">
        <f>G31*H31</f>
        <v>9315</v>
      </c>
    </row>
    <row r="32" spans="1:9" ht="14.25" customHeight="1" x14ac:dyDescent="0.25">
      <c r="A32" s="197"/>
      <c r="B32" s="158" t="s">
        <v>308</v>
      </c>
      <c r="C32" s="98" t="s">
        <v>49</v>
      </c>
      <c r="D32" s="99" t="s">
        <v>52</v>
      </c>
      <c r="E32" s="111" t="s">
        <v>831</v>
      </c>
      <c r="F32" s="103" t="s">
        <v>8</v>
      </c>
      <c r="G32" s="96">
        <v>500</v>
      </c>
      <c r="H32" s="97">
        <f>Composição!$I$26</f>
        <v>40.010000000000005</v>
      </c>
      <c r="I32" s="113">
        <f t="shared" ref="I32:I82" si="2">G32*H32</f>
        <v>20005.000000000004</v>
      </c>
    </row>
    <row r="33" spans="1:9" x14ac:dyDescent="0.25">
      <c r="A33" s="197"/>
      <c r="B33" s="158" t="s">
        <v>309</v>
      </c>
      <c r="C33" s="110">
        <v>97669</v>
      </c>
      <c r="D33" s="111" t="s">
        <v>1</v>
      </c>
      <c r="E33" s="111" t="s">
        <v>170</v>
      </c>
      <c r="F33" s="112" t="s">
        <v>8</v>
      </c>
      <c r="G33" s="96">
        <v>555</v>
      </c>
      <c r="H33" s="97">
        <v>12.96</v>
      </c>
      <c r="I33" s="113">
        <f t="shared" si="2"/>
        <v>7192.8</v>
      </c>
    </row>
    <row r="34" spans="1:9" x14ac:dyDescent="0.25">
      <c r="A34" s="197"/>
      <c r="B34" s="158" t="s">
        <v>310</v>
      </c>
      <c r="C34" s="110">
        <v>97670</v>
      </c>
      <c r="D34" s="111" t="s">
        <v>1</v>
      </c>
      <c r="E34" s="111" t="s">
        <v>171</v>
      </c>
      <c r="F34" s="112" t="s">
        <v>8</v>
      </c>
      <c r="G34" s="96">
        <v>105</v>
      </c>
      <c r="H34" s="97">
        <v>16.72</v>
      </c>
      <c r="I34" s="113">
        <f t="shared" si="2"/>
        <v>1755.6</v>
      </c>
    </row>
    <row r="35" spans="1:9" ht="14.25" customHeight="1" x14ac:dyDescent="0.25">
      <c r="A35" s="197"/>
      <c r="B35" s="158" t="s">
        <v>311</v>
      </c>
      <c r="C35" s="98" t="s">
        <v>49</v>
      </c>
      <c r="D35" s="99" t="s">
        <v>64</v>
      </c>
      <c r="E35" s="100" t="s">
        <v>277</v>
      </c>
      <c r="F35" s="112" t="s">
        <v>8</v>
      </c>
      <c r="G35" s="96">
        <f>G33+G34</f>
        <v>660</v>
      </c>
      <c r="H35" s="97">
        <f>Composição!$I$45</f>
        <v>50.907150999999999</v>
      </c>
      <c r="I35" s="113">
        <f t="shared" si="2"/>
        <v>33598.719660000002</v>
      </c>
    </row>
    <row r="36" spans="1:9" ht="14.25" customHeight="1" x14ac:dyDescent="0.25">
      <c r="A36" s="197"/>
      <c r="B36" s="158" t="s">
        <v>312</v>
      </c>
      <c r="C36" s="98">
        <v>95746</v>
      </c>
      <c r="D36" s="99" t="s">
        <v>1</v>
      </c>
      <c r="E36" s="100" t="s">
        <v>172</v>
      </c>
      <c r="F36" s="112" t="s">
        <v>8</v>
      </c>
      <c r="G36" s="96">
        <v>1140</v>
      </c>
      <c r="H36" s="97">
        <v>23.4</v>
      </c>
      <c r="I36" s="113">
        <f t="shared" si="2"/>
        <v>26676</v>
      </c>
    </row>
    <row r="37" spans="1:9" ht="14.25" customHeight="1" x14ac:dyDescent="0.25">
      <c r="A37" s="197"/>
      <c r="B37" s="158" t="s">
        <v>313</v>
      </c>
      <c r="C37" s="98">
        <v>95749</v>
      </c>
      <c r="D37" s="99" t="s">
        <v>1</v>
      </c>
      <c r="E37" s="100" t="s">
        <v>173</v>
      </c>
      <c r="F37" s="112" t="s">
        <v>8</v>
      </c>
      <c r="G37" s="96">
        <v>1070</v>
      </c>
      <c r="H37" s="97">
        <v>23.69</v>
      </c>
      <c r="I37" s="113">
        <f t="shared" si="2"/>
        <v>25348.300000000003</v>
      </c>
    </row>
    <row r="38" spans="1:9" x14ac:dyDescent="0.25">
      <c r="A38" s="197"/>
      <c r="B38" s="158" t="s">
        <v>314</v>
      </c>
      <c r="C38" s="110">
        <v>9037</v>
      </c>
      <c r="D38" s="111" t="s">
        <v>9</v>
      </c>
      <c r="E38" s="111" t="s">
        <v>157</v>
      </c>
      <c r="F38" s="112" t="s">
        <v>8</v>
      </c>
      <c r="G38" s="96">
        <v>80</v>
      </c>
      <c r="H38" s="97">
        <v>172.5</v>
      </c>
      <c r="I38" s="113">
        <f t="shared" si="2"/>
        <v>13800</v>
      </c>
    </row>
    <row r="39" spans="1:9" x14ac:dyDescent="0.25">
      <c r="A39" s="197"/>
      <c r="B39" s="158" t="s">
        <v>315</v>
      </c>
      <c r="C39" s="110">
        <v>11435</v>
      </c>
      <c r="D39" s="111" t="s">
        <v>9</v>
      </c>
      <c r="E39" s="111" t="s">
        <v>174</v>
      </c>
      <c r="F39" s="112" t="s">
        <v>8</v>
      </c>
      <c r="G39" s="96">
        <v>20</v>
      </c>
      <c r="H39" s="97">
        <v>194.17</v>
      </c>
      <c r="I39" s="113">
        <f t="shared" si="2"/>
        <v>3883.3999999999996</v>
      </c>
    </row>
    <row r="40" spans="1:9" ht="26.4" x14ac:dyDescent="0.25">
      <c r="A40" s="197"/>
      <c r="B40" s="158" t="s">
        <v>316</v>
      </c>
      <c r="C40" s="98" t="s">
        <v>49</v>
      </c>
      <c r="D40" s="99" t="s">
        <v>74</v>
      </c>
      <c r="E40" s="100" t="s">
        <v>848</v>
      </c>
      <c r="F40" s="112" t="s">
        <v>7</v>
      </c>
      <c r="G40" s="96">
        <v>11</v>
      </c>
      <c r="H40" s="97">
        <f>Composição!$I$85</f>
        <v>1208.5663587439999</v>
      </c>
      <c r="I40" s="113">
        <f t="shared" si="2"/>
        <v>13294.229946183999</v>
      </c>
    </row>
    <row r="41" spans="1:9" ht="26.4" x14ac:dyDescent="0.25">
      <c r="A41" s="197"/>
      <c r="B41" s="158" t="s">
        <v>832</v>
      </c>
      <c r="C41" s="98" t="s">
        <v>49</v>
      </c>
      <c r="D41" s="99" t="s">
        <v>42</v>
      </c>
      <c r="E41" s="100" t="s">
        <v>851</v>
      </c>
      <c r="F41" s="112" t="s">
        <v>7</v>
      </c>
      <c r="G41" s="96">
        <v>9</v>
      </c>
      <c r="H41" s="97">
        <f>Composição!$I$85</f>
        <v>1208.5663587439999</v>
      </c>
      <c r="I41" s="113">
        <f t="shared" si="2"/>
        <v>10877.097228695999</v>
      </c>
    </row>
    <row r="42" spans="1:9" x14ac:dyDescent="0.25">
      <c r="A42" s="197"/>
      <c r="B42" s="158" t="s">
        <v>833</v>
      </c>
      <c r="C42" s="98">
        <v>98111</v>
      </c>
      <c r="D42" s="99" t="s">
        <v>1</v>
      </c>
      <c r="E42" s="100" t="s">
        <v>649</v>
      </c>
      <c r="F42" s="112" t="s">
        <v>472</v>
      </c>
      <c r="G42" s="96">
        <v>4</v>
      </c>
      <c r="H42" s="97">
        <v>51.91</v>
      </c>
      <c r="I42" s="113">
        <f t="shared" si="2"/>
        <v>207.64</v>
      </c>
    </row>
    <row r="43" spans="1:9" x14ac:dyDescent="0.25">
      <c r="A43" s="197"/>
      <c r="B43" s="158" t="s">
        <v>853</v>
      </c>
      <c r="C43" s="98">
        <v>96986</v>
      </c>
      <c r="D43" s="99" t="s">
        <v>1</v>
      </c>
      <c r="E43" s="100" t="s">
        <v>648</v>
      </c>
      <c r="F43" s="112" t="s">
        <v>472</v>
      </c>
      <c r="G43" s="96">
        <v>4</v>
      </c>
      <c r="H43" s="97">
        <v>90.09</v>
      </c>
      <c r="I43" s="113">
        <f t="shared" si="2"/>
        <v>360.36</v>
      </c>
    </row>
    <row r="44" spans="1:9" x14ac:dyDescent="0.25">
      <c r="A44" s="197"/>
      <c r="B44" s="158" t="s">
        <v>864</v>
      </c>
      <c r="C44" s="98" t="s">
        <v>49</v>
      </c>
      <c r="D44" s="99" t="s">
        <v>101</v>
      </c>
      <c r="E44" s="100" t="s">
        <v>855</v>
      </c>
      <c r="F44" s="112" t="s">
        <v>472</v>
      </c>
      <c r="G44" s="96">
        <v>4</v>
      </c>
      <c r="H44" s="97">
        <f>Composição!$I$96</f>
        <v>20.209</v>
      </c>
      <c r="I44" s="113">
        <f t="shared" si="2"/>
        <v>80.835999999999999</v>
      </c>
    </row>
    <row r="45" spans="1:9" x14ac:dyDescent="0.25">
      <c r="A45" s="197"/>
      <c r="B45" s="158" t="s">
        <v>865</v>
      </c>
      <c r="C45" s="98" t="s">
        <v>49</v>
      </c>
      <c r="D45" s="99" t="s">
        <v>98</v>
      </c>
      <c r="E45" s="100" t="s">
        <v>672</v>
      </c>
      <c r="F45" s="112" t="s">
        <v>8</v>
      </c>
      <c r="G45" s="96">
        <v>191</v>
      </c>
      <c r="H45" s="97">
        <f>Composição!$I$105</f>
        <v>6.2473799999999997</v>
      </c>
      <c r="I45" s="113">
        <f t="shared" si="2"/>
        <v>1193.2495799999999</v>
      </c>
    </row>
    <row r="46" spans="1:9" x14ac:dyDescent="0.25">
      <c r="A46" s="197"/>
      <c r="B46" s="158" t="s">
        <v>866</v>
      </c>
      <c r="C46" s="98" t="s">
        <v>49</v>
      </c>
      <c r="D46" s="99" t="s">
        <v>105</v>
      </c>
      <c r="E46" s="100" t="s">
        <v>863</v>
      </c>
      <c r="F46" s="112" t="s">
        <v>472</v>
      </c>
      <c r="G46" s="96">
        <v>1</v>
      </c>
      <c r="H46" s="97">
        <f>Composição!$I$114</f>
        <v>686.14</v>
      </c>
      <c r="I46" s="113">
        <f t="shared" si="2"/>
        <v>686.14</v>
      </c>
    </row>
    <row r="47" spans="1:9" x14ac:dyDescent="0.25">
      <c r="A47" s="197"/>
      <c r="B47" s="203" t="s">
        <v>67</v>
      </c>
      <c r="C47" s="117"/>
      <c r="D47" s="117"/>
      <c r="E47" s="118" t="s">
        <v>305</v>
      </c>
      <c r="F47" s="119"/>
      <c r="G47" s="120"/>
      <c r="H47" s="121"/>
      <c r="I47" s="113"/>
    </row>
    <row r="48" spans="1:9" x14ac:dyDescent="0.25">
      <c r="A48" s="197"/>
      <c r="B48" s="158" t="s">
        <v>317</v>
      </c>
      <c r="C48" s="110">
        <v>91927</v>
      </c>
      <c r="D48" s="111" t="s">
        <v>1</v>
      </c>
      <c r="E48" s="111" t="s">
        <v>179</v>
      </c>
      <c r="F48" s="112" t="s">
        <v>8</v>
      </c>
      <c r="G48" s="96">
        <f>2850+3240+2850+210+210+210</f>
        <v>9570</v>
      </c>
      <c r="H48" s="97">
        <v>5.42</v>
      </c>
      <c r="I48" s="113">
        <f t="shared" si="2"/>
        <v>51869.4</v>
      </c>
    </row>
    <row r="49" spans="1:9" x14ac:dyDescent="0.25">
      <c r="A49" s="197"/>
      <c r="B49" s="158" t="s">
        <v>318</v>
      </c>
      <c r="C49" s="110">
        <v>91929</v>
      </c>
      <c r="D49" s="111" t="s">
        <v>1</v>
      </c>
      <c r="E49" s="111" t="s">
        <v>175</v>
      </c>
      <c r="F49" s="112" t="s">
        <v>8</v>
      </c>
      <c r="G49" s="96">
        <f>2320+2860+1225+1225+1225</f>
        <v>8855</v>
      </c>
      <c r="H49" s="97">
        <v>7.66</v>
      </c>
      <c r="I49" s="113">
        <f t="shared" si="2"/>
        <v>67829.3</v>
      </c>
    </row>
    <row r="50" spans="1:9" x14ac:dyDescent="0.25">
      <c r="A50" s="197"/>
      <c r="B50" s="158" t="s">
        <v>319</v>
      </c>
      <c r="C50" s="110">
        <v>91931</v>
      </c>
      <c r="D50" s="111" t="s">
        <v>1</v>
      </c>
      <c r="E50" s="111" t="s">
        <v>115</v>
      </c>
      <c r="F50" s="112" t="s">
        <v>8</v>
      </c>
      <c r="G50" s="96">
        <v>195</v>
      </c>
      <c r="H50" s="97">
        <v>10.37</v>
      </c>
      <c r="I50" s="113">
        <f t="shared" si="2"/>
        <v>2022.1499999999999</v>
      </c>
    </row>
    <row r="51" spans="1:9" x14ac:dyDescent="0.25">
      <c r="A51" s="197"/>
      <c r="B51" s="158" t="s">
        <v>320</v>
      </c>
      <c r="C51" s="98" t="s">
        <v>49</v>
      </c>
      <c r="D51" s="99" t="s">
        <v>117</v>
      </c>
      <c r="E51" s="111" t="s">
        <v>176</v>
      </c>
      <c r="F51" s="112" t="s">
        <v>8</v>
      </c>
      <c r="G51" s="96">
        <v>45</v>
      </c>
      <c r="H51" s="97">
        <f>Composição!$I$125</f>
        <v>32.871200000000002</v>
      </c>
      <c r="I51" s="113">
        <f t="shared" si="2"/>
        <v>1479.2040000000002</v>
      </c>
    </row>
    <row r="52" spans="1:9" x14ac:dyDescent="0.25">
      <c r="A52" s="197"/>
      <c r="B52" s="158" t="s">
        <v>321</v>
      </c>
      <c r="C52" s="98" t="s">
        <v>49</v>
      </c>
      <c r="D52" s="99" t="s">
        <v>118</v>
      </c>
      <c r="E52" s="111" t="s">
        <v>177</v>
      </c>
      <c r="F52" s="112" t="s">
        <v>8</v>
      </c>
      <c r="G52" s="96">
        <v>453</v>
      </c>
      <c r="H52" s="97">
        <f>Composição!$I$136</f>
        <v>44.662399999999998</v>
      </c>
      <c r="I52" s="113">
        <f t="shared" si="2"/>
        <v>20232.067199999998</v>
      </c>
    </row>
    <row r="53" spans="1:9" x14ac:dyDescent="0.25">
      <c r="A53" s="197"/>
      <c r="B53" s="158" t="s">
        <v>322</v>
      </c>
      <c r="C53" s="98" t="s">
        <v>49</v>
      </c>
      <c r="D53" s="99" t="s">
        <v>122</v>
      </c>
      <c r="E53" s="111" t="s">
        <v>741</v>
      </c>
      <c r="F53" s="112" t="s">
        <v>8</v>
      </c>
      <c r="G53" s="96">
        <v>230</v>
      </c>
      <c r="H53" s="97">
        <f>Composição!$I$147</f>
        <v>60.880400000000002</v>
      </c>
      <c r="I53" s="113">
        <f t="shared" si="2"/>
        <v>14002.492</v>
      </c>
    </row>
    <row r="54" spans="1:9" x14ac:dyDescent="0.25">
      <c r="A54" s="197"/>
      <c r="B54" s="158" t="s">
        <v>323</v>
      </c>
      <c r="C54" s="98" t="s">
        <v>49</v>
      </c>
      <c r="D54" s="99" t="s">
        <v>125</v>
      </c>
      <c r="E54" s="111" t="s">
        <v>742</v>
      </c>
      <c r="F54" s="112" t="s">
        <v>8</v>
      </c>
      <c r="G54" s="96">
        <v>1822</v>
      </c>
      <c r="H54" s="97">
        <f>Composição!$I$158</f>
        <v>88.114399999999989</v>
      </c>
      <c r="I54" s="113">
        <f t="shared" si="2"/>
        <v>160544.43679999997</v>
      </c>
    </row>
    <row r="55" spans="1:9" x14ac:dyDescent="0.25">
      <c r="A55" s="197"/>
      <c r="B55" s="158" t="s">
        <v>324</v>
      </c>
      <c r="C55" s="98" t="s">
        <v>49</v>
      </c>
      <c r="D55" s="99" t="s">
        <v>128</v>
      </c>
      <c r="E55" s="111" t="s">
        <v>178</v>
      </c>
      <c r="F55" s="112" t="s">
        <v>8</v>
      </c>
      <c r="G55" s="96">
        <v>245</v>
      </c>
      <c r="H55" s="97">
        <f>Composição!$I$169</f>
        <v>127.7796</v>
      </c>
      <c r="I55" s="113">
        <f t="shared" si="2"/>
        <v>31306.002</v>
      </c>
    </row>
    <row r="56" spans="1:9" x14ac:dyDescent="0.25">
      <c r="A56" s="197"/>
      <c r="B56" s="158" t="s">
        <v>888</v>
      </c>
      <c r="C56" s="98" t="s">
        <v>49</v>
      </c>
      <c r="D56" s="99" t="s">
        <v>130</v>
      </c>
      <c r="E56" s="111" t="s">
        <v>743</v>
      </c>
      <c r="F56" s="112" t="s">
        <v>8</v>
      </c>
      <c r="G56" s="96">
        <v>90</v>
      </c>
      <c r="H56" s="97">
        <f>Composição!$I$180</f>
        <v>136.53119999999998</v>
      </c>
      <c r="I56" s="113">
        <f t="shared" si="2"/>
        <v>12287.807999999999</v>
      </c>
    </row>
    <row r="57" spans="1:9" x14ac:dyDescent="0.25">
      <c r="A57" s="197"/>
      <c r="B57" s="158" t="s">
        <v>889</v>
      </c>
      <c r="C57" s="98" t="s">
        <v>49</v>
      </c>
      <c r="D57" s="99" t="s">
        <v>131</v>
      </c>
      <c r="E57" s="111" t="s">
        <v>744</v>
      </c>
      <c r="F57" s="112" t="s">
        <v>8</v>
      </c>
      <c r="G57" s="96">
        <v>180</v>
      </c>
      <c r="H57" s="97">
        <f>Composição!$I$191</f>
        <v>184.40479999999999</v>
      </c>
      <c r="I57" s="113">
        <f t="shared" si="2"/>
        <v>33192.864000000001</v>
      </c>
    </row>
    <row r="58" spans="1:9" x14ac:dyDescent="0.25">
      <c r="A58" s="197"/>
      <c r="B58" s="158" t="s">
        <v>890</v>
      </c>
      <c r="C58" s="98" t="s">
        <v>49</v>
      </c>
      <c r="D58" s="99" t="s">
        <v>132</v>
      </c>
      <c r="E58" s="111" t="s">
        <v>745</v>
      </c>
      <c r="F58" s="112" t="s">
        <v>8</v>
      </c>
      <c r="G58" s="96">
        <v>200</v>
      </c>
      <c r="H58" s="97">
        <f>Composição!$I$202</f>
        <v>297.8288</v>
      </c>
      <c r="I58" s="113">
        <f t="shared" si="2"/>
        <v>59565.760000000002</v>
      </c>
    </row>
    <row r="59" spans="1:9" x14ac:dyDescent="0.25">
      <c r="A59" s="197"/>
      <c r="B59" s="158" t="s">
        <v>891</v>
      </c>
      <c r="C59" s="125">
        <v>96978</v>
      </c>
      <c r="D59" s="111" t="s">
        <v>1</v>
      </c>
      <c r="E59" s="111" t="s">
        <v>746</v>
      </c>
      <c r="F59" s="112" t="s">
        <v>8</v>
      </c>
      <c r="G59" s="124">
        <v>25</v>
      </c>
      <c r="H59" s="123">
        <v>65.59</v>
      </c>
      <c r="I59" s="113">
        <f t="shared" si="2"/>
        <v>1639.75</v>
      </c>
    </row>
    <row r="60" spans="1:9" x14ac:dyDescent="0.25">
      <c r="A60" s="197"/>
      <c r="B60" s="105" t="s">
        <v>68</v>
      </c>
      <c r="C60" s="106"/>
      <c r="D60" s="117"/>
      <c r="E60" s="107" t="s">
        <v>10</v>
      </c>
      <c r="F60" s="108"/>
      <c r="G60" s="109"/>
      <c r="H60" s="121"/>
      <c r="I60" s="113"/>
    </row>
    <row r="61" spans="1:9" ht="13.5" customHeight="1" x14ac:dyDescent="0.25">
      <c r="A61" s="197"/>
      <c r="B61" s="92" t="s">
        <v>325</v>
      </c>
      <c r="C61" s="102">
        <v>95778</v>
      </c>
      <c r="D61" s="99" t="s">
        <v>1</v>
      </c>
      <c r="E61" s="111" t="s">
        <v>220</v>
      </c>
      <c r="F61" s="112" t="s">
        <v>7</v>
      </c>
      <c r="G61" s="96">
        <f>19+9+(21*7)</f>
        <v>175</v>
      </c>
      <c r="H61" s="97">
        <v>22.88</v>
      </c>
      <c r="I61" s="113">
        <f t="shared" si="2"/>
        <v>4004</v>
      </c>
    </row>
    <row r="62" spans="1:9" ht="13.5" customHeight="1" x14ac:dyDescent="0.25">
      <c r="A62" s="197"/>
      <c r="B62" s="92" t="s">
        <v>326</v>
      </c>
      <c r="C62" s="102">
        <v>95779</v>
      </c>
      <c r="D62" s="99" t="s">
        <v>1</v>
      </c>
      <c r="E62" s="111" t="s">
        <v>221</v>
      </c>
      <c r="F62" s="112" t="s">
        <v>7</v>
      </c>
      <c r="G62" s="96">
        <f>29+7+(23*7)</f>
        <v>197</v>
      </c>
      <c r="H62" s="97">
        <v>20.87</v>
      </c>
      <c r="I62" s="113">
        <f t="shared" si="2"/>
        <v>4111.3900000000003</v>
      </c>
    </row>
    <row r="63" spans="1:9" ht="13.5" customHeight="1" x14ac:dyDescent="0.25">
      <c r="A63" s="197"/>
      <c r="B63" s="92" t="s">
        <v>327</v>
      </c>
      <c r="C63" s="98" t="s">
        <v>49</v>
      </c>
      <c r="D63" s="99" t="s">
        <v>133</v>
      </c>
      <c r="E63" s="111" t="s">
        <v>222</v>
      </c>
      <c r="F63" s="112" t="s">
        <v>7</v>
      </c>
      <c r="G63" s="96">
        <f>17+9+(13*7)</f>
        <v>117</v>
      </c>
      <c r="H63" s="97">
        <f>Composição!$I$213</f>
        <v>23.415999999999997</v>
      </c>
      <c r="I63" s="113">
        <f t="shared" si="2"/>
        <v>2739.6719999999996</v>
      </c>
    </row>
    <row r="64" spans="1:9" ht="13.5" customHeight="1" x14ac:dyDescent="0.25">
      <c r="A64" s="197"/>
      <c r="B64" s="92" t="s">
        <v>328</v>
      </c>
      <c r="C64" s="98">
        <v>95795</v>
      </c>
      <c r="D64" s="99" t="s">
        <v>1</v>
      </c>
      <c r="E64" s="111" t="s">
        <v>223</v>
      </c>
      <c r="F64" s="112" t="s">
        <v>7</v>
      </c>
      <c r="G64" s="96">
        <f>24+2+(18*7)</f>
        <v>152</v>
      </c>
      <c r="H64" s="97">
        <v>25.76</v>
      </c>
      <c r="I64" s="113">
        <f t="shared" si="2"/>
        <v>3915.5200000000004</v>
      </c>
    </row>
    <row r="65" spans="1:10" ht="13.5" customHeight="1" x14ac:dyDescent="0.25">
      <c r="A65" s="197"/>
      <c r="B65" s="92" t="s">
        <v>329</v>
      </c>
      <c r="C65" s="102">
        <v>95801</v>
      </c>
      <c r="D65" s="99" t="s">
        <v>1</v>
      </c>
      <c r="E65" s="111" t="s">
        <v>180</v>
      </c>
      <c r="F65" s="112" t="s">
        <v>7</v>
      </c>
      <c r="G65" s="96">
        <f>1+2+(1*7)</f>
        <v>10</v>
      </c>
      <c r="H65" s="97">
        <v>31.11</v>
      </c>
      <c r="I65" s="113">
        <f t="shared" si="2"/>
        <v>311.10000000000002</v>
      </c>
    </row>
    <row r="66" spans="1:10" ht="25.5" customHeight="1" x14ac:dyDescent="0.25">
      <c r="A66" s="197"/>
      <c r="B66" s="92" t="s">
        <v>330</v>
      </c>
      <c r="C66" s="102" t="s">
        <v>49</v>
      </c>
      <c r="D66" s="99" t="s">
        <v>134</v>
      </c>
      <c r="E66" s="100" t="s">
        <v>11</v>
      </c>
      <c r="F66" s="112" t="s">
        <v>7</v>
      </c>
      <c r="G66" s="96">
        <f>2+1+((4+2)*7)+(2*3)+15+3</f>
        <v>69</v>
      </c>
      <c r="H66" s="97">
        <f>Composição!$I$225</f>
        <v>18.458535000000001</v>
      </c>
      <c r="I66" s="113">
        <f t="shared" si="2"/>
        <v>1273.638915</v>
      </c>
    </row>
    <row r="67" spans="1:10" ht="25.5" customHeight="1" x14ac:dyDescent="0.25">
      <c r="A67" s="197"/>
      <c r="B67" s="92" t="s">
        <v>331</v>
      </c>
      <c r="C67" s="102" t="s">
        <v>49</v>
      </c>
      <c r="D67" s="99" t="s">
        <v>139</v>
      </c>
      <c r="E67" s="100" t="s">
        <v>12</v>
      </c>
      <c r="F67" s="112" t="s">
        <v>7</v>
      </c>
      <c r="G67" s="96">
        <f>22+10+((9+1)*7)+((28+7)*3)+2+8+3</f>
        <v>220</v>
      </c>
      <c r="H67" s="97">
        <f>Composição!$I$237</f>
        <v>25.408535000000001</v>
      </c>
      <c r="I67" s="113">
        <f t="shared" si="2"/>
        <v>5589.8777</v>
      </c>
    </row>
    <row r="68" spans="1:10" ht="26.4" x14ac:dyDescent="0.25">
      <c r="A68" s="197"/>
      <c r="B68" s="92" t="s">
        <v>332</v>
      </c>
      <c r="C68" s="98" t="s">
        <v>49</v>
      </c>
      <c r="D68" s="99" t="s">
        <v>685</v>
      </c>
      <c r="E68" s="111" t="s">
        <v>181</v>
      </c>
      <c r="F68" s="112" t="s">
        <v>7</v>
      </c>
      <c r="G68" s="96">
        <v>5</v>
      </c>
      <c r="H68" s="97">
        <f>Composição!$I$250</f>
        <v>220.5975</v>
      </c>
      <c r="I68" s="113">
        <f t="shared" si="2"/>
        <v>1102.9875</v>
      </c>
    </row>
    <row r="69" spans="1:10" x14ac:dyDescent="0.25">
      <c r="A69" s="197"/>
      <c r="B69" s="92" t="s">
        <v>333</v>
      </c>
      <c r="C69" s="102">
        <v>91996</v>
      </c>
      <c r="D69" s="99" t="s">
        <v>1</v>
      </c>
      <c r="E69" s="111" t="s">
        <v>935</v>
      </c>
      <c r="F69" s="112" t="s">
        <v>7</v>
      </c>
      <c r="G69" s="96">
        <v>105</v>
      </c>
      <c r="H69" s="97">
        <v>23.61</v>
      </c>
      <c r="I69" s="113">
        <f t="shared" si="2"/>
        <v>2479.0499999999997</v>
      </c>
    </row>
    <row r="70" spans="1:10" x14ac:dyDescent="0.25">
      <c r="A70" s="197"/>
      <c r="B70" s="92" t="s">
        <v>334</v>
      </c>
      <c r="C70" s="102">
        <v>92002</v>
      </c>
      <c r="D70" s="99" t="s">
        <v>1</v>
      </c>
      <c r="E70" s="111" t="s">
        <v>936</v>
      </c>
      <c r="F70" s="112" t="s">
        <v>7</v>
      </c>
      <c r="G70" s="96">
        <v>75</v>
      </c>
      <c r="H70" s="97">
        <v>32.68</v>
      </c>
      <c r="I70" s="113">
        <f t="shared" si="2"/>
        <v>2451</v>
      </c>
    </row>
    <row r="71" spans="1:10" x14ac:dyDescent="0.25">
      <c r="A71" s="197"/>
      <c r="B71" s="92" t="s">
        <v>335</v>
      </c>
      <c r="C71" s="114" t="s">
        <v>49</v>
      </c>
      <c r="D71" s="99" t="s">
        <v>141</v>
      </c>
      <c r="E71" s="115" t="s">
        <v>182</v>
      </c>
      <c r="F71" s="112" t="s">
        <v>7</v>
      </c>
      <c r="G71" s="96">
        <v>5</v>
      </c>
      <c r="H71" s="97">
        <f>Composição!$I$261</f>
        <v>21.349600000000002</v>
      </c>
      <c r="I71" s="113">
        <f t="shared" si="2"/>
        <v>106.74800000000002</v>
      </c>
    </row>
    <row r="72" spans="1:10" s="104" customFormat="1" x14ac:dyDescent="0.25">
      <c r="A72" s="197"/>
      <c r="B72" s="92" t="s">
        <v>336</v>
      </c>
      <c r="C72" s="102">
        <v>91953</v>
      </c>
      <c r="D72" s="100" t="s">
        <v>1</v>
      </c>
      <c r="E72" s="100" t="s">
        <v>937</v>
      </c>
      <c r="F72" s="112" t="s">
        <v>7</v>
      </c>
      <c r="G72" s="96">
        <v>7</v>
      </c>
      <c r="H72" s="97">
        <v>19.920000000000002</v>
      </c>
      <c r="I72" s="113">
        <f t="shared" si="2"/>
        <v>139.44</v>
      </c>
    </row>
    <row r="73" spans="1:10" s="104" customFormat="1" x14ac:dyDescent="0.25">
      <c r="A73" s="197"/>
      <c r="B73" s="92" t="s">
        <v>337</v>
      </c>
      <c r="C73" s="102">
        <v>91959</v>
      </c>
      <c r="D73" s="100" t="s">
        <v>1</v>
      </c>
      <c r="E73" s="100" t="s">
        <v>938</v>
      </c>
      <c r="F73" s="112" t="s">
        <v>7</v>
      </c>
      <c r="G73" s="96">
        <v>14</v>
      </c>
      <c r="H73" s="97">
        <v>31.55</v>
      </c>
      <c r="I73" s="113">
        <f t="shared" si="2"/>
        <v>441.7</v>
      </c>
    </row>
    <row r="74" spans="1:10" s="104" customFormat="1" x14ac:dyDescent="0.25">
      <c r="A74" s="197"/>
      <c r="B74" s="92" t="s">
        <v>338</v>
      </c>
      <c r="C74" s="102">
        <v>91967</v>
      </c>
      <c r="D74" s="100" t="s">
        <v>1</v>
      </c>
      <c r="E74" s="100" t="s">
        <v>939</v>
      </c>
      <c r="F74" s="112" t="s">
        <v>7</v>
      </c>
      <c r="G74" s="96">
        <v>11</v>
      </c>
      <c r="H74" s="97">
        <v>43.18</v>
      </c>
      <c r="I74" s="113">
        <f t="shared" si="2"/>
        <v>474.98</v>
      </c>
    </row>
    <row r="75" spans="1:10" x14ac:dyDescent="0.25">
      <c r="A75" s="197"/>
      <c r="B75" s="105" t="s">
        <v>69</v>
      </c>
      <c r="C75" s="106"/>
      <c r="D75" s="117"/>
      <c r="E75" s="107" t="s">
        <v>306</v>
      </c>
      <c r="F75" s="108"/>
      <c r="G75" s="109"/>
      <c r="H75" s="121"/>
      <c r="I75" s="113">
        <f t="shared" si="2"/>
        <v>0</v>
      </c>
    </row>
    <row r="76" spans="1:10" x14ac:dyDescent="0.25">
      <c r="A76" s="197"/>
      <c r="B76" s="158" t="s">
        <v>339</v>
      </c>
      <c r="C76" s="98" t="s">
        <v>49</v>
      </c>
      <c r="D76" s="99" t="s">
        <v>960</v>
      </c>
      <c r="E76" s="100" t="s">
        <v>1221</v>
      </c>
      <c r="F76" s="112" t="s">
        <v>7</v>
      </c>
      <c r="G76" s="96">
        <v>1</v>
      </c>
      <c r="H76" s="300">
        <f>Composição!$I$270</f>
        <v>188.04969244444442</v>
      </c>
      <c r="I76" s="113">
        <f t="shared" si="2"/>
        <v>188.04969244444442</v>
      </c>
      <c r="J76" s="132"/>
    </row>
    <row r="77" spans="1:10" x14ac:dyDescent="0.25">
      <c r="A77" s="197"/>
      <c r="B77" s="158" t="s">
        <v>340</v>
      </c>
      <c r="C77" s="98" t="s">
        <v>49</v>
      </c>
      <c r="D77" s="99" t="s">
        <v>961</v>
      </c>
      <c r="E77" s="100" t="s">
        <v>1225</v>
      </c>
      <c r="F77" s="112" t="s">
        <v>7</v>
      </c>
      <c r="G77" s="96">
        <v>1</v>
      </c>
      <c r="H77" s="300">
        <f>Composição!$I$279</f>
        <v>35.259317333333335</v>
      </c>
      <c r="I77" s="113">
        <f t="shared" si="2"/>
        <v>35.259317333333335</v>
      </c>
      <c r="J77" s="132"/>
    </row>
    <row r="78" spans="1:10" x14ac:dyDescent="0.25">
      <c r="A78" s="197"/>
      <c r="B78" s="158" t="s">
        <v>341</v>
      </c>
      <c r="C78" s="98" t="s">
        <v>49</v>
      </c>
      <c r="D78" s="99" t="s">
        <v>962</v>
      </c>
      <c r="E78" s="100" t="s">
        <v>1222</v>
      </c>
      <c r="F78" s="112" t="s">
        <v>7</v>
      </c>
      <c r="G78" s="96">
        <v>7</v>
      </c>
      <c r="H78" s="300">
        <f>Composição!$I$288</f>
        <v>94.024846222222209</v>
      </c>
      <c r="I78" s="113">
        <f t="shared" si="2"/>
        <v>658.17392355555546</v>
      </c>
      <c r="J78" s="132"/>
    </row>
    <row r="79" spans="1:10" x14ac:dyDescent="0.25">
      <c r="A79" s="197"/>
      <c r="B79" s="158" t="s">
        <v>342</v>
      </c>
      <c r="C79" s="98" t="s">
        <v>49</v>
      </c>
      <c r="D79" s="99" t="s">
        <v>963</v>
      </c>
      <c r="E79" s="100" t="s">
        <v>1227</v>
      </c>
      <c r="F79" s="112" t="s">
        <v>7</v>
      </c>
      <c r="G79" s="96">
        <v>2</v>
      </c>
      <c r="H79" s="300">
        <f>Composição!$I$297</f>
        <v>105.77795200000001</v>
      </c>
      <c r="I79" s="113">
        <f t="shared" si="2"/>
        <v>211.55590400000003</v>
      </c>
      <c r="J79" s="132"/>
    </row>
    <row r="80" spans="1:10" x14ac:dyDescent="0.25">
      <c r="A80" s="197"/>
      <c r="B80" s="158" t="s">
        <v>343</v>
      </c>
      <c r="C80" s="98" t="s">
        <v>49</v>
      </c>
      <c r="D80" s="99" t="s">
        <v>964</v>
      </c>
      <c r="E80" s="100" t="s">
        <v>1229</v>
      </c>
      <c r="F80" s="112" t="s">
        <v>7</v>
      </c>
      <c r="G80" s="96">
        <v>1</v>
      </c>
      <c r="H80" s="300">
        <f>Composição!$I$306</f>
        <v>141.03726933333334</v>
      </c>
      <c r="I80" s="113">
        <f t="shared" si="2"/>
        <v>141.03726933333334</v>
      </c>
      <c r="J80" s="132"/>
    </row>
    <row r="81" spans="1:9" x14ac:dyDescent="0.25">
      <c r="A81" s="197"/>
      <c r="B81" s="105" t="s">
        <v>70</v>
      </c>
      <c r="C81" s="106"/>
      <c r="D81" s="117"/>
      <c r="E81" s="107" t="s">
        <v>303</v>
      </c>
      <c r="F81" s="108"/>
      <c r="G81" s="109"/>
      <c r="H81" s="121"/>
      <c r="I81" s="113"/>
    </row>
    <row r="82" spans="1:9" ht="26.4" x14ac:dyDescent="0.25">
      <c r="A82" s="197"/>
      <c r="B82" s="158" t="s">
        <v>344</v>
      </c>
      <c r="C82" s="98" t="s">
        <v>49</v>
      </c>
      <c r="D82" s="99" t="s">
        <v>188</v>
      </c>
      <c r="E82" s="100" t="s">
        <v>857</v>
      </c>
      <c r="F82" s="112" t="s">
        <v>7</v>
      </c>
      <c r="G82" s="96">
        <v>1</v>
      </c>
      <c r="H82" s="97">
        <f>Composição!$I$428</f>
        <v>49926.627466000005</v>
      </c>
      <c r="I82" s="113">
        <f t="shared" si="2"/>
        <v>49926.627466000005</v>
      </c>
    </row>
    <row r="83" spans="1:9" x14ac:dyDescent="0.25">
      <c r="A83" s="197"/>
      <c r="B83" s="203" t="s">
        <v>71</v>
      </c>
      <c r="C83" s="117"/>
      <c r="D83" s="117"/>
      <c r="E83" s="118" t="s">
        <v>375</v>
      </c>
      <c r="F83" s="119"/>
      <c r="G83" s="120"/>
      <c r="H83" s="121"/>
      <c r="I83" s="113"/>
    </row>
    <row r="84" spans="1:9" x14ac:dyDescent="0.25">
      <c r="A84" s="197"/>
      <c r="B84" s="158" t="s">
        <v>345</v>
      </c>
      <c r="C84" s="98" t="s">
        <v>49</v>
      </c>
      <c r="D84" s="99" t="s">
        <v>219</v>
      </c>
      <c r="E84" s="100" t="s">
        <v>809</v>
      </c>
      <c r="F84" s="103" t="s">
        <v>7</v>
      </c>
      <c r="G84" s="96">
        <v>1</v>
      </c>
      <c r="H84" s="97">
        <f>Composição!$I$440</f>
        <v>528.75</v>
      </c>
      <c r="I84" s="113">
        <f t="shared" ref="I84:I103" si="3">G84*H84</f>
        <v>528.75</v>
      </c>
    </row>
    <row r="85" spans="1:9" x14ac:dyDescent="0.25">
      <c r="A85" s="197"/>
      <c r="B85" s="158" t="s">
        <v>764</v>
      </c>
      <c r="C85" s="122">
        <v>95749</v>
      </c>
      <c r="D85" s="99" t="s">
        <v>1</v>
      </c>
      <c r="E85" s="100" t="s">
        <v>794</v>
      </c>
      <c r="F85" s="112" t="s">
        <v>8</v>
      </c>
      <c r="G85" s="96">
        <v>184</v>
      </c>
      <c r="H85" s="97">
        <v>23.69</v>
      </c>
      <c r="I85" s="113">
        <f t="shared" si="3"/>
        <v>4358.96</v>
      </c>
    </row>
    <row r="86" spans="1:9" ht="26.4" x14ac:dyDescent="0.25">
      <c r="A86" s="197"/>
      <c r="B86" s="158" t="s">
        <v>765</v>
      </c>
      <c r="C86" s="122">
        <v>95787</v>
      </c>
      <c r="D86" s="99" t="s">
        <v>1</v>
      </c>
      <c r="E86" s="100" t="s">
        <v>763</v>
      </c>
      <c r="F86" s="112" t="s">
        <v>7</v>
      </c>
      <c r="G86" s="96">
        <v>30</v>
      </c>
      <c r="H86" s="97">
        <v>22.32</v>
      </c>
      <c r="I86" s="113">
        <f t="shared" si="3"/>
        <v>669.6</v>
      </c>
    </row>
    <row r="87" spans="1:9" ht="26.4" x14ac:dyDescent="0.25">
      <c r="A87" s="197"/>
      <c r="B87" s="158" t="s">
        <v>766</v>
      </c>
      <c r="C87" s="116">
        <v>97886</v>
      </c>
      <c r="D87" s="99" t="s">
        <v>1</v>
      </c>
      <c r="E87" s="100" t="s">
        <v>810</v>
      </c>
      <c r="F87" s="103" t="s">
        <v>7</v>
      </c>
      <c r="G87" s="96">
        <v>12</v>
      </c>
      <c r="H87" s="97">
        <v>152.99</v>
      </c>
      <c r="I87" s="113">
        <f t="shared" si="3"/>
        <v>1835.88</v>
      </c>
    </row>
    <row r="88" spans="1:9" x14ac:dyDescent="0.25">
      <c r="A88" s="197"/>
      <c r="B88" s="158" t="s">
        <v>767</v>
      </c>
      <c r="C88" s="98" t="s">
        <v>49</v>
      </c>
      <c r="D88" s="99" t="s">
        <v>224</v>
      </c>
      <c r="E88" s="100" t="s">
        <v>784</v>
      </c>
      <c r="F88" s="103" t="s">
        <v>8</v>
      </c>
      <c r="G88" s="96">
        <v>276</v>
      </c>
      <c r="H88" s="97">
        <f>Composição!$I$451</f>
        <v>21.7272</v>
      </c>
      <c r="I88" s="113">
        <f t="shared" si="3"/>
        <v>5996.7071999999998</v>
      </c>
    </row>
    <row r="89" spans="1:9" x14ac:dyDescent="0.25">
      <c r="A89" s="197"/>
      <c r="B89" s="158" t="s">
        <v>768</v>
      </c>
      <c r="C89" s="98" t="s">
        <v>49</v>
      </c>
      <c r="D89" s="99" t="s">
        <v>228</v>
      </c>
      <c r="E89" s="100" t="s">
        <v>804</v>
      </c>
      <c r="F89" s="103" t="s">
        <v>8</v>
      </c>
      <c r="G89" s="96">
        <v>100</v>
      </c>
      <c r="H89" s="97">
        <f>Composição!$I$462</f>
        <v>23.737200000000001</v>
      </c>
      <c r="I89" s="113">
        <f t="shared" si="3"/>
        <v>2373.7200000000003</v>
      </c>
    </row>
    <row r="90" spans="1:9" x14ac:dyDescent="0.25">
      <c r="A90" s="197"/>
      <c r="B90" s="158" t="s">
        <v>769</v>
      </c>
      <c r="C90" s="116">
        <v>98307</v>
      </c>
      <c r="D90" s="99" t="s">
        <v>1</v>
      </c>
      <c r="E90" s="100" t="s">
        <v>783</v>
      </c>
      <c r="F90" s="103" t="s">
        <v>7</v>
      </c>
      <c r="G90" s="96">
        <v>40</v>
      </c>
      <c r="H90" s="97">
        <v>37.840000000000003</v>
      </c>
      <c r="I90" s="113">
        <f t="shared" si="3"/>
        <v>1513.6000000000001</v>
      </c>
    </row>
    <row r="91" spans="1:9" x14ac:dyDescent="0.25">
      <c r="A91" s="197"/>
      <c r="B91" s="158" t="s">
        <v>770</v>
      </c>
      <c r="C91" s="98" t="s">
        <v>49</v>
      </c>
      <c r="D91" s="99" t="s">
        <v>234</v>
      </c>
      <c r="E91" s="100" t="s">
        <v>795</v>
      </c>
      <c r="F91" s="103" t="s">
        <v>7</v>
      </c>
      <c r="G91" s="96">
        <f>11*6+8</f>
        <v>74</v>
      </c>
      <c r="H91" s="97">
        <f>Composição!$I$475</f>
        <v>172.74760739999999</v>
      </c>
      <c r="I91" s="113">
        <f t="shared" si="3"/>
        <v>12783.3229476</v>
      </c>
    </row>
    <row r="92" spans="1:9" x14ac:dyDescent="0.25">
      <c r="A92" s="197"/>
      <c r="B92" s="158" t="s">
        <v>771</v>
      </c>
      <c r="C92" s="98" t="s">
        <v>49</v>
      </c>
      <c r="D92" s="99" t="s">
        <v>236</v>
      </c>
      <c r="E92" s="100" t="s">
        <v>796</v>
      </c>
      <c r="F92" s="103" t="s">
        <v>7</v>
      </c>
      <c r="G92" s="96">
        <v>13</v>
      </c>
      <c r="H92" s="97">
        <f>Composição!$I$486</f>
        <v>234.72312000000002</v>
      </c>
      <c r="I92" s="113">
        <f t="shared" si="3"/>
        <v>3051.4005600000005</v>
      </c>
    </row>
    <row r="93" spans="1:9" x14ac:dyDescent="0.25">
      <c r="A93" s="197"/>
      <c r="B93" s="158" t="s">
        <v>772</v>
      </c>
      <c r="C93" s="98" t="s">
        <v>49</v>
      </c>
      <c r="D93" s="99" t="s">
        <v>241</v>
      </c>
      <c r="E93" s="100" t="s">
        <v>801</v>
      </c>
      <c r="F93" s="103" t="s">
        <v>8</v>
      </c>
      <c r="G93" s="96">
        <v>460</v>
      </c>
      <c r="H93" s="97">
        <f>Composição!$I$498</f>
        <v>9.5130999999999997</v>
      </c>
      <c r="I93" s="113">
        <f t="shared" si="3"/>
        <v>4376.0259999999998</v>
      </c>
    </row>
    <row r="94" spans="1:9" x14ac:dyDescent="0.25">
      <c r="A94" s="197"/>
      <c r="B94" s="158" t="s">
        <v>773</v>
      </c>
      <c r="C94" s="98" t="s">
        <v>49</v>
      </c>
      <c r="D94" s="99" t="s">
        <v>246</v>
      </c>
      <c r="E94" s="100" t="s">
        <v>811</v>
      </c>
      <c r="F94" s="103" t="s">
        <v>8</v>
      </c>
      <c r="G94" s="96">
        <v>100</v>
      </c>
      <c r="H94" s="97">
        <f>Composição!$I$509</f>
        <v>5.1032000000000002</v>
      </c>
      <c r="I94" s="113">
        <f t="shared" si="3"/>
        <v>510.32</v>
      </c>
    </row>
    <row r="95" spans="1:9" x14ac:dyDescent="0.25">
      <c r="A95" s="197"/>
      <c r="B95" s="158" t="s">
        <v>1153</v>
      </c>
      <c r="C95" s="98" t="s">
        <v>49</v>
      </c>
      <c r="D95" s="99" t="s">
        <v>258</v>
      </c>
      <c r="E95" s="100" t="s">
        <v>818</v>
      </c>
      <c r="F95" s="103" t="s">
        <v>7</v>
      </c>
      <c r="G95" s="96">
        <v>12</v>
      </c>
      <c r="H95" s="97">
        <f>Composição!$I$520</f>
        <v>37.694000000000003</v>
      </c>
      <c r="I95" s="113">
        <f t="shared" si="3"/>
        <v>452.32800000000003</v>
      </c>
    </row>
    <row r="96" spans="1:9" x14ac:dyDescent="0.25">
      <c r="A96" s="197"/>
      <c r="B96" s="203" t="s">
        <v>72</v>
      </c>
      <c r="C96" s="117"/>
      <c r="D96" s="99"/>
      <c r="E96" s="118" t="s">
        <v>13</v>
      </c>
      <c r="F96" s="119"/>
      <c r="G96" s="120"/>
      <c r="H96" s="121"/>
      <c r="I96" s="113"/>
    </row>
    <row r="97" spans="1:9" x14ac:dyDescent="0.25">
      <c r="A97" s="197"/>
      <c r="B97" s="92" t="s">
        <v>346</v>
      </c>
      <c r="C97" s="122" t="s">
        <v>49</v>
      </c>
      <c r="D97" s="99" t="s">
        <v>263</v>
      </c>
      <c r="E97" s="100" t="s">
        <v>816</v>
      </c>
      <c r="F97" s="103" t="s">
        <v>7</v>
      </c>
      <c r="G97" s="96">
        <v>20</v>
      </c>
      <c r="H97" s="97">
        <f>Composição!$I$532</f>
        <v>269.16000000000003</v>
      </c>
      <c r="I97" s="113">
        <f t="shared" si="3"/>
        <v>5383.2000000000007</v>
      </c>
    </row>
    <row r="98" spans="1:9" x14ac:dyDescent="0.25">
      <c r="A98" s="197"/>
      <c r="B98" s="92" t="s">
        <v>347</v>
      </c>
      <c r="C98" s="122" t="s">
        <v>49</v>
      </c>
      <c r="D98" s="99" t="s">
        <v>268</v>
      </c>
      <c r="E98" s="100" t="s">
        <v>817</v>
      </c>
      <c r="F98" s="103" t="s">
        <v>7</v>
      </c>
      <c r="G98" s="96">
        <v>261</v>
      </c>
      <c r="H98" s="97">
        <f>Composição!I544</f>
        <v>224.95</v>
      </c>
      <c r="I98" s="113">
        <f t="shared" si="3"/>
        <v>58711.95</v>
      </c>
    </row>
    <row r="99" spans="1:9" x14ac:dyDescent="0.25">
      <c r="A99" s="197"/>
      <c r="B99" s="203" t="s">
        <v>73</v>
      </c>
      <c r="C99" s="117"/>
      <c r="D99" s="117"/>
      <c r="E99" s="118" t="s">
        <v>14</v>
      </c>
      <c r="F99" s="119"/>
      <c r="G99" s="120"/>
      <c r="H99" s="121"/>
      <c r="I99" s="113"/>
    </row>
    <row r="100" spans="1:9" x14ac:dyDescent="0.25">
      <c r="A100" s="197"/>
      <c r="B100" s="92" t="s">
        <v>348</v>
      </c>
      <c r="C100" s="122" t="s">
        <v>49</v>
      </c>
      <c r="D100" s="99" t="s">
        <v>274</v>
      </c>
      <c r="E100" s="100" t="s">
        <v>233</v>
      </c>
      <c r="F100" s="103" t="s">
        <v>7</v>
      </c>
      <c r="G100" s="96">
        <v>7</v>
      </c>
      <c r="H100" s="97">
        <f>Composição!$I$557</f>
        <v>1532.11717</v>
      </c>
      <c r="I100" s="113">
        <f t="shared" si="3"/>
        <v>10724.82019</v>
      </c>
    </row>
    <row r="101" spans="1:9" ht="26.4" x14ac:dyDescent="0.25">
      <c r="A101" s="197"/>
      <c r="B101" s="92" t="s">
        <v>349</v>
      </c>
      <c r="C101" s="122">
        <v>101636</v>
      </c>
      <c r="D101" s="99" t="s">
        <v>1</v>
      </c>
      <c r="E101" s="100" t="s">
        <v>235</v>
      </c>
      <c r="F101" s="103" t="s">
        <v>7</v>
      </c>
      <c r="G101" s="96">
        <v>14</v>
      </c>
      <c r="H101" s="97">
        <v>155.31</v>
      </c>
      <c r="I101" s="113">
        <f t="shared" si="3"/>
        <v>2174.34</v>
      </c>
    </row>
    <row r="102" spans="1:9" x14ac:dyDescent="0.25">
      <c r="A102" s="197"/>
      <c r="B102" s="92" t="s">
        <v>350</v>
      </c>
      <c r="C102" s="122" t="s">
        <v>49</v>
      </c>
      <c r="D102" s="99" t="s">
        <v>376</v>
      </c>
      <c r="E102" s="100" t="s">
        <v>296</v>
      </c>
      <c r="F102" s="103" t="s">
        <v>7</v>
      </c>
      <c r="G102" s="96">
        <v>14</v>
      </c>
      <c r="H102" s="97">
        <f>Composição!$I$571</f>
        <v>670.60903600000006</v>
      </c>
      <c r="I102" s="113">
        <f t="shared" si="3"/>
        <v>9388.5265040000013</v>
      </c>
    </row>
    <row r="103" spans="1:9" x14ac:dyDescent="0.25">
      <c r="A103" s="197"/>
      <c r="B103" s="92" t="s">
        <v>351</v>
      </c>
      <c r="C103" s="122" t="s">
        <v>49</v>
      </c>
      <c r="D103" s="99" t="s">
        <v>382</v>
      </c>
      <c r="E103" s="100" t="s">
        <v>243</v>
      </c>
      <c r="F103" s="103" t="s">
        <v>7</v>
      </c>
      <c r="G103" s="96">
        <v>15</v>
      </c>
      <c r="H103" s="97">
        <f>Composição!$I$583</f>
        <v>81.079035999999988</v>
      </c>
      <c r="I103" s="113">
        <f t="shared" si="3"/>
        <v>1216.1855399999997</v>
      </c>
    </row>
    <row r="104" spans="1:9" ht="5.25" customHeight="1" x14ac:dyDescent="0.25">
      <c r="A104" s="197"/>
      <c r="B104" s="92"/>
      <c r="C104" s="101"/>
      <c r="D104" s="100"/>
      <c r="E104" s="94"/>
      <c r="F104" s="95"/>
      <c r="G104" s="96"/>
      <c r="H104" s="97"/>
      <c r="I104" s="113"/>
    </row>
    <row r="105" spans="1:9" x14ac:dyDescent="0.25">
      <c r="A105" s="197"/>
      <c r="B105" s="178">
        <v>4</v>
      </c>
      <c r="C105" s="172"/>
      <c r="D105" s="172"/>
      <c r="E105" s="172" t="s">
        <v>452</v>
      </c>
      <c r="F105" s="179"/>
      <c r="G105" s="180"/>
      <c r="H105" s="181"/>
      <c r="I105" s="201">
        <f>SUM(I107:I140)</f>
        <v>190473.63220602061</v>
      </c>
    </row>
    <row r="106" spans="1:9" x14ac:dyDescent="0.25">
      <c r="A106" s="197"/>
      <c r="B106" s="105" t="s">
        <v>89</v>
      </c>
      <c r="C106" s="106"/>
      <c r="D106" s="117"/>
      <c r="E106" s="107" t="s">
        <v>15</v>
      </c>
      <c r="F106" s="108"/>
      <c r="G106" s="109"/>
      <c r="H106" s="121"/>
      <c r="I106" s="202"/>
    </row>
    <row r="107" spans="1:9" ht="26.4" x14ac:dyDescent="0.25">
      <c r="A107" s="197"/>
      <c r="B107" s="92" t="s">
        <v>635</v>
      </c>
      <c r="C107" s="122" t="s">
        <v>49</v>
      </c>
      <c r="D107" s="99" t="s">
        <v>385</v>
      </c>
      <c r="E107" s="100" t="s">
        <v>750</v>
      </c>
      <c r="F107" s="103" t="s">
        <v>7</v>
      </c>
      <c r="G107" s="96">
        <v>22</v>
      </c>
      <c r="H107" s="97">
        <f>Composição!$I$620</f>
        <v>3493.9409165716456</v>
      </c>
      <c r="I107" s="113">
        <f>G107*H107</f>
        <v>76866.700164576207</v>
      </c>
    </row>
    <row r="108" spans="1:9" x14ac:dyDescent="0.25">
      <c r="A108" s="197"/>
      <c r="B108" s="92" t="s">
        <v>454</v>
      </c>
      <c r="C108" s="122">
        <v>97101</v>
      </c>
      <c r="D108" s="99" t="s">
        <v>1</v>
      </c>
      <c r="E108" s="100" t="s">
        <v>581</v>
      </c>
      <c r="F108" s="103" t="s">
        <v>37</v>
      </c>
      <c r="G108" s="96">
        <f>22*(1*1.4)</f>
        <v>30.799999999999997</v>
      </c>
      <c r="H108" s="97">
        <v>205.83</v>
      </c>
      <c r="I108" s="113">
        <f t="shared" ref="I108:I140" si="4">G108*H108</f>
        <v>6339.5639999999994</v>
      </c>
    </row>
    <row r="109" spans="1:9" ht="26.4" x14ac:dyDescent="0.25">
      <c r="A109" s="197"/>
      <c r="B109" s="92" t="s">
        <v>634</v>
      </c>
      <c r="C109" s="122">
        <v>99258</v>
      </c>
      <c r="D109" s="99" t="s">
        <v>1</v>
      </c>
      <c r="E109" s="100" t="s">
        <v>465</v>
      </c>
      <c r="F109" s="103" t="s">
        <v>7</v>
      </c>
      <c r="G109" s="96">
        <f>(8*2)+6</f>
        <v>22</v>
      </c>
      <c r="H109" s="97">
        <v>195.15</v>
      </c>
      <c r="I109" s="113">
        <f t="shared" si="4"/>
        <v>4293.3</v>
      </c>
    </row>
    <row r="110" spans="1:9" x14ac:dyDescent="0.25">
      <c r="A110" s="197"/>
      <c r="B110" s="92" t="s">
        <v>455</v>
      </c>
      <c r="C110" s="122" t="s">
        <v>49</v>
      </c>
      <c r="D110" s="99" t="s">
        <v>391</v>
      </c>
      <c r="E110" s="100" t="s">
        <v>762</v>
      </c>
      <c r="F110" s="103" t="s">
        <v>7</v>
      </c>
      <c r="G110" s="96">
        <v>22</v>
      </c>
      <c r="H110" s="97">
        <f>Composição!$I$636</f>
        <v>176.88011799999998</v>
      </c>
      <c r="I110" s="113">
        <f t="shared" si="4"/>
        <v>3891.3625959999995</v>
      </c>
    </row>
    <row r="111" spans="1:9" x14ac:dyDescent="0.25">
      <c r="A111" s="197"/>
      <c r="B111" s="92" t="s">
        <v>456</v>
      </c>
      <c r="C111" s="122" t="s">
        <v>49</v>
      </c>
      <c r="D111" s="99" t="s">
        <v>395</v>
      </c>
      <c r="E111" s="100" t="s">
        <v>644</v>
      </c>
      <c r="F111" s="103" t="s">
        <v>7</v>
      </c>
      <c r="G111" s="96">
        <v>22</v>
      </c>
      <c r="H111" s="97">
        <f>Composição!$I$648</f>
        <v>289.95419999999996</v>
      </c>
      <c r="I111" s="113">
        <f t="shared" si="4"/>
        <v>6378.9923999999992</v>
      </c>
    </row>
    <row r="112" spans="1:9" x14ac:dyDescent="0.25">
      <c r="A112" s="197"/>
      <c r="B112" s="105" t="s">
        <v>90</v>
      </c>
      <c r="C112" s="106"/>
      <c r="D112" s="117"/>
      <c r="E112" s="107" t="s">
        <v>453</v>
      </c>
      <c r="F112" s="108"/>
      <c r="G112" s="109"/>
      <c r="H112" s="121"/>
      <c r="I112" s="113"/>
    </row>
    <row r="113" spans="1:9" x14ac:dyDescent="0.25">
      <c r="A113" s="197"/>
      <c r="B113" s="92" t="s">
        <v>489</v>
      </c>
      <c r="C113" s="122">
        <v>93671</v>
      </c>
      <c r="D113" s="99" t="s">
        <v>1</v>
      </c>
      <c r="E113" s="100" t="s">
        <v>488</v>
      </c>
      <c r="F113" s="103" t="s">
        <v>7</v>
      </c>
      <c r="G113" s="96">
        <v>1</v>
      </c>
      <c r="H113" s="97">
        <v>80.75</v>
      </c>
      <c r="I113" s="113">
        <f t="shared" si="4"/>
        <v>80.75</v>
      </c>
    </row>
    <row r="114" spans="1:9" ht="13.5" customHeight="1" x14ac:dyDescent="0.25">
      <c r="A114" s="197"/>
      <c r="B114" s="92" t="s">
        <v>523</v>
      </c>
      <c r="C114" s="122">
        <v>95746</v>
      </c>
      <c r="D114" s="99" t="s">
        <v>1</v>
      </c>
      <c r="E114" s="100" t="s">
        <v>172</v>
      </c>
      <c r="F114" s="103" t="s">
        <v>8</v>
      </c>
      <c r="G114" s="96">
        <v>19</v>
      </c>
      <c r="H114" s="97">
        <v>23.4</v>
      </c>
      <c r="I114" s="113">
        <f t="shared" si="4"/>
        <v>444.59999999999997</v>
      </c>
    </row>
    <row r="115" spans="1:9" ht="13.5" customHeight="1" x14ac:dyDescent="0.25">
      <c r="A115" s="197"/>
      <c r="B115" s="92" t="s">
        <v>524</v>
      </c>
      <c r="C115" s="122">
        <v>95749</v>
      </c>
      <c r="D115" s="99" t="s">
        <v>1</v>
      </c>
      <c r="E115" s="100" t="s">
        <v>173</v>
      </c>
      <c r="F115" s="103" t="s">
        <v>8</v>
      </c>
      <c r="G115" s="96">
        <v>10</v>
      </c>
      <c r="H115" s="97">
        <v>23.69</v>
      </c>
      <c r="I115" s="113">
        <f t="shared" si="4"/>
        <v>236.9</v>
      </c>
    </row>
    <row r="116" spans="1:9" x14ac:dyDescent="0.25">
      <c r="A116" s="197"/>
      <c r="B116" s="92" t="s">
        <v>525</v>
      </c>
      <c r="C116" s="122">
        <v>91931</v>
      </c>
      <c r="D116" s="99" t="s">
        <v>1</v>
      </c>
      <c r="E116" s="100" t="s">
        <v>115</v>
      </c>
      <c r="F116" s="103" t="s">
        <v>8</v>
      </c>
      <c r="G116" s="96">
        <v>40</v>
      </c>
      <c r="H116" s="97">
        <v>10.37</v>
      </c>
      <c r="I116" s="113">
        <f t="shared" si="4"/>
        <v>414.79999999999995</v>
      </c>
    </row>
    <row r="117" spans="1:9" x14ac:dyDescent="0.25">
      <c r="A117" s="197"/>
      <c r="B117" s="92" t="s">
        <v>526</v>
      </c>
      <c r="C117" s="122">
        <v>91927</v>
      </c>
      <c r="D117" s="99" t="s">
        <v>1</v>
      </c>
      <c r="E117" s="100" t="s">
        <v>179</v>
      </c>
      <c r="F117" s="103" t="s">
        <v>8</v>
      </c>
      <c r="G117" s="96">
        <v>180</v>
      </c>
      <c r="H117" s="97">
        <v>5.42</v>
      </c>
      <c r="I117" s="113">
        <f t="shared" si="4"/>
        <v>975.6</v>
      </c>
    </row>
    <row r="118" spans="1:9" ht="13.5" customHeight="1" x14ac:dyDescent="0.25">
      <c r="A118" s="197"/>
      <c r="B118" s="92" t="s">
        <v>527</v>
      </c>
      <c r="C118" s="122">
        <v>95802</v>
      </c>
      <c r="D118" s="99" t="s">
        <v>1</v>
      </c>
      <c r="E118" s="100" t="s">
        <v>490</v>
      </c>
      <c r="F118" s="103" t="s">
        <v>7</v>
      </c>
      <c r="G118" s="96">
        <v>3</v>
      </c>
      <c r="H118" s="97">
        <v>34.799999999999997</v>
      </c>
      <c r="I118" s="113">
        <f t="shared" si="4"/>
        <v>104.39999999999999</v>
      </c>
    </row>
    <row r="119" spans="1:9" ht="13.5" customHeight="1" x14ac:dyDescent="0.25">
      <c r="A119" s="197"/>
      <c r="B119" s="92" t="s">
        <v>528</v>
      </c>
      <c r="C119" s="122">
        <v>95801</v>
      </c>
      <c r="D119" s="99" t="s">
        <v>1</v>
      </c>
      <c r="E119" s="100" t="s">
        <v>180</v>
      </c>
      <c r="F119" s="103" t="s">
        <v>7</v>
      </c>
      <c r="G119" s="96">
        <v>3</v>
      </c>
      <c r="H119" s="97">
        <v>31.11</v>
      </c>
      <c r="I119" s="113">
        <f t="shared" si="4"/>
        <v>93.33</v>
      </c>
    </row>
    <row r="120" spans="1:9" x14ac:dyDescent="0.25">
      <c r="A120" s="197"/>
      <c r="B120" s="92" t="s">
        <v>529</v>
      </c>
      <c r="C120" s="122" t="s">
        <v>49</v>
      </c>
      <c r="D120" s="99" t="s">
        <v>401</v>
      </c>
      <c r="E120" s="100" t="s">
        <v>495</v>
      </c>
      <c r="F120" s="103" t="s">
        <v>37</v>
      </c>
      <c r="G120" s="96">
        <v>30.5</v>
      </c>
      <c r="H120" s="97">
        <f>Composição!$I$659</f>
        <v>1002.7575000000001</v>
      </c>
      <c r="I120" s="113">
        <f t="shared" si="4"/>
        <v>30584.103750000002</v>
      </c>
    </row>
    <row r="121" spans="1:9" x14ac:dyDescent="0.25">
      <c r="A121" s="197"/>
      <c r="B121" s="92" t="s">
        <v>530</v>
      </c>
      <c r="C121" s="122" t="s">
        <v>49</v>
      </c>
      <c r="D121" s="99" t="s">
        <v>415</v>
      </c>
      <c r="E121" s="100" t="s">
        <v>499</v>
      </c>
      <c r="F121" s="103" t="s">
        <v>37</v>
      </c>
      <c r="G121" s="96">
        <v>42</v>
      </c>
      <c r="H121" s="97">
        <f>Composição!$I$670</f>
        <v>325.11150000000004</v>
      </c>
      <c r="I121" s="113">
        <f t="shared" si="4"/>
        <v>13654.683000000001</v>
      </c>
    </row>
    <row r="122" spans="1:9" x14ac:dyDescent="0.25">
      <c r="A122" s="197"/>
      <c r="B122" s="92" t="s">
        <v>531</v>
      </c>
      <c r="C122" s="122" t="s">
        <v>49</v>
      </c>
      <c r="D122" s="99" t="s">
        <v>419</v>
      </c>
      <c r="E122" s="100" t="s">
        <v>511</v>
      </c>
      <c r="F122" s="103" t="s">
        <v>7</v>
      </c>
      <c r="G122" s="96">
        <v>1</v>
      </c>
      <c r="H122" s="97">
        <f>Composição!$I$681</f>
        <v>1741.04135</v>
      </c>
      <c r="I122" s="113">
        <f t="shared" si="4"/>
        <v>1741.04135</v>
      </c>
    </row>
    <row r="123" spans="1:9" x14ac:dyDescent="0.25">
      <c r="A123" s="197"/>
      <c r="B123" s="92" t="s">
        <v>532</v>
      </c>
      <c r="C123" s="122" t="s">
        <v>49</v>
      </c>
      <c r="D123" s="99" t="s">
        <v>433</v>
      </c>
      <c r="E123" s="100" t="s">
        <v>512</v>
      </c>
      <c r="F123" s="103" t="s">
        <v>7</v>
      </c>
      <c r="G123" s="96">
        <v>1</v>
      </c>
      <c r="H123" s="97">
        <f>Composição!$I$692</f>
        <v>959.6413500000001</v>
      </c>
      <c r="I123" s="113">
        <f t="shared" si="4"/>
        <v>959.6413500000001</v>
      </c>
    </row>
    <row r="124" spans="1:9" x14ac:dyDescent="0.25">
      <c r="A124" s="197"/>
      <c r="B124" s="92" t="s">
        <v>533</v>
      </c>
      <c r="C124" s="122" t="s">
        <v>49</v>
      </c>
      <c r="D124" s="99" t="s">
        <v>447</v>
      </c>
      <c r="E124" s="100" t="s">
        <v>507</v>
      </c>
      <c r="F124" s="103" t="s">
        <v>7</v>
      </c>
      <c r="G124" s="96">
        <v>1</v>
      </c>
      <c r="H124" s="97">
        <f>Composição!$I$703</f>
        <v>372.17135000000002</v>
      </c>
      <c r="I124" s="113">
        <f t="shared" si="4"/>
        <v>372.17135000000002</v>
      </c>
    </row>
    <row r="125" spans="1:9" x14ac:dyDescent="0.25">
      <c r="A125" s="197"/>
      <c r="B125" s="92" t="s">
        <v>534</v>
      </c>
      <c r="C125" s="122" t="s">
        <v>49</v>
      </c>
      <c r="D125" s="99" t="s">
        <v>464</v>
      </c>
      <c r="E125" s="100" t="s">
        <v>509</v>
      </c>
      <c r="F125" s="103" t="s">
        <v>7</v>
      </c>
      <c r="G125" s="96">
        <v>2</v>
      </c>
      <c r="H125" s="97">
        <f>Composição!$I$714</f>
        <v>344.05135000000001</v>
      </c>
      <c r="I125" s="113">
        <f t="shared" si="4"/>
        <v>688.10270000000003</v>
      </c>
    </row>
    <row r="126" spans="1:9" x14ac:dyDescent="0.25">
      <c r="A126" s="197"/>
      <c r="B126" s="92" t="s">
        <v>535</v>
      </c>
      <c r="C126" s="122" t="s">
        <v>49</v>
      </c>
      <c r="D126" s="99" t="s">
        <v>467</v>
      </c>
      <c r="E126" s="100" t="s">
        <v>514</v>
      </c>
      <c r="F126" s="103" t="s">
        <v>7</v>
      </c>
      <c r="G126" s="96">
        <v>2</v>
      </c>
      <c r="H126" s="97">
        <f>Composição!$I$725</f>
        <v>270.92135000000002</v>
      </c>
      <c r="I126" s="113">
        <f t="shared" si="4"/>
        <v>541.84270000000004</v>
      </c>
    </row>
    <row r="127" spans="1:9" x14ac:dyDescent="0.25">
      <c r="A127" s="197"/>
      <c r="B127" s="92" t="s">
        <v>536</v>
      </c>
      <c r="C127" s="122" t="s">
        <v>49</v>
      </c>
      <c r="D127" s="99" t="s">
        <v>496</v>
      </c>
      <c r="E127" s="100" t="s">
        <v>519</v>
      </c>
      <c r="F127" s="103" t="s">
        <v>7</v>
      </c>
      <c r="G127" s="96">
        <v>4</v>
      </c>
      <c r="H127" s="97">
        <f>Composição!$I$725</f>
        <v>270.92135000000002</v>
      </c>
      <c r="I127" s="113">
        <f t="shared" si="4"/>
        <v>1083.6854000000001</v>
      </c>
    </row>
    <row r="128" spans="1:9" x14ac:dyDescent="0.25">
      <c r="A128" s="197"/>
      <c r="B128" s="92" t="s">
        <v>537</v>
      </c>
      <c r="C128" s="122" t="s">
        <v>49</v>
      </c>
      <c r="D128" s="99" t="s">
        <v>500</v>
      </c>
      <c r="E128" s="100" t="s">
        <v>522</v>
      </c>
      <c r="F128" s="103" t="s">
        <v>7</v>
      </c>
      <c r="G128" s="96">
        <v>3</v>
      </c>
      <c r="H128" s="97">
        <f>Composição!$I$745</f>
        <v>118.744</v>
      </c>
      <c r="I128" s="113">
        <f t="shared" si="4"/>
        <v>356.23199999999997</v>
      </c>
    </row>
    <row r="129" spans="1:9" x14ac:dyDescent="0.25">
      <c r="A129" s="197"/>
      <c r="B129" s="92" t="s">
        <v>579</v>
      </c>
      <c r="C129" s="127" t="s">
        <v>49</v>
      </c>
      <c r="D129" s="128" t="s">
        <v>504</v>
      </c>
      <c r="E129" s="111" t="s">
        <v>724</v>
      </c>
      <c r="F129" s="129" t="s">
        <v>7</v>
      </c>
      <c r="G129" s="130">
        <v>1</v>
      </c>
      <c r="H129" s="131">
        <f>Composição!$I$756</f>
        <v>1239.70135</v>
      </c>
      <c r="I129" s="113">
        <f t="shared" si="4"/>
        <v>1239.70135</v>
      </c>
    </row>
    <row r="130" spans="1:9" x14ac:dyDescent="0.25">
      <c r="A130" s="197"/>
      <c r="B130" s="92" t="s">
        <v>580</v>
      </c>
      <c r="C130" s="122" t="s">
        <v>49</v>
      </c>
      <c r="D130" s="99" t="s">
        <v>506</v>
      </c>
      <c r="E130" s="100" t="s">
        <v>547</v>
      </c>
      <c r="F130" s="103" t="s">
        <v>7</v>
      </c>
      <c r="G130" s="96">
        <v>1</v>
      </c>
      <c r="H130" s="97">
        <f>Composição!$I$774</f>
        <v>3915.3760000000002</v>
      </c>
      <c r="I130" s="113">
        <f t="shared" si="4"/>
        <v>3915.3760000000002</v>
      </c>
    </row>
    <row r="131" spans="1:9" x14ac:dyDescent="0.25">
      <c r="A131" s="197"/>
      <c r="B131" s="92" t="s">
        <v>592</v>
      </c>
      <c r="C131" s="116">
        <v>97101</v>
      </c>
      <c r="D131" s="100" t="s">
        <v>1</v>
      </c>
      <c r="E131" s="100" t="s">
        <v>208</v>
      </c>
      <c r="F131" s="103" t="s">
        <v>37</v>
      </c>
      <c r="G131" s="133">
        <f>2*10</f>
        <v>20</v>
      </c>
      <c r="H131" s="134">
        <v>205.83</v>
      </c>
      <c r="I131" s="113">
        <f t="shared" si="4"/>
        <v>4116.6000000000004</v>
      </c>
    </row>
    <row r="132" spans="1:9" x14ac:dyDescent="0.25">
      <c r="A132" s="197"/>
      <c r="B132" s="92" t="s">
        <v>593</v>
      </c>
      <c r="C132" s="122" t="s">
        <v>49</v>
      </c>
      <c r="D132" s="99" t="s">
        <v>508</v>
      </c>
      <c r="E132" s="100" t="s">
        <v>597</v>
      </c>
      <c r="F132" s="103" t="s">
        <v>7</v>
      </c>
      <c r="G132" s="96">
        <v>1</v>
      </c>
      <c r="H132" s="97">
        <f>Composição!$I$786</f>
        <v>218.78111111111113</v>
      </c>
      <c r="I132" s="113">
        <f t="shared" si="4"/>
        <v>218.78111111111113</v>
      </c>
    </row>
    <row r="133" spans="1:9" x14ac:dyDescent="0.25">
      <c r="A133" s="197"/>
      <c r="B133" s="92" t="s">
        <v>599</v>
      </c>
      <c r="C133" s="122" t="s">
        <v>49</v>
      </c>
      <c r="D133" s="99" t="s">
        <v>513</v>
      </c>
      <c r="E133" s="100" t="s">
        <v>598</v>
      </c>
      <c r="F133" s="103" t="s">
        <v>7</v>
      </c>
      <c r="G133" s="96">
        <v>1</v>
      </c>
      <c r="H133" s="97">
        <f>Composição!$I$798</f>
        <v>191.58833333333334</v>
      </c>
      <c r="I133" s="113">
        <f t="shared" si="4"/>
        <v>191.58833333333334</v>
      </c>
    </row>
    <row r="134" spans="1:9" x14ac:dyDescent="0.25">
      <c r="A134" s="197"/>
      <c r="B134" s="92" t="s">
        <v>628</v>
      </c>
      <c r="C134" s="122" t="s">
        <v>49</v>
      </c>
      <c r="D134" s="99" t="s">
        <v>518</v>
      </c>
      <c r="E134" s="100" t="s">
        <v>596</v>
      </c>
      <c r="F134" s="103" t="s">
        <v>7</v>
      </c>
      <c r="G134" s="96">
        <v>1</v>
      </c>
      <c r="H134" s="97">
        <f>Composição!$I$810</f>
        <v>150.78285099999999</v>
      </c>
      <c r="I134" s="113">
        <f t="shared" si="4"/>
        <v>150.78285099999999</v>
      </c>
    </row>
    <row r="135" spans="1:9" x14ac:dyDescent="0.25">
      <c r="A135" s="197"/>
      <c r="B135" s="92" t="s">
        <v>629</v>
      </c>
      <c r="C135" s="122" t="s">
        <v>49</v>
      </c>
      <c r="D135" s="99" t="s">
        <v>520</v>
      </c>
      <c r="E135" s="100" t="s">
        <v>687</v>
      </c>
      <c r="F135" s="103" t="s">
        <v>7</v>
      </c>
      <c r="G135" s="96">
        <v>2</v>
      </c>
      <c r="H135" s="97">
        <f>Composição!$I$824</f>
        <v>83.767499999999998</v>
      </c>
      <c r="I135" s="113">
        <f t="shared" si="4"/>
        <v>167.535</v>
      </c>
    </row>
    <row r="136" spans="1:9" x14ac:dyDescent="0.25">
      <c r="A136" s="197"/>
      <c r="B136" s="92" t="s">
        <v>630</v>
      </c>
      <c r="C136" s="122" t="s">
        <v>49</v>
      </c>
      <c r="D136" s="99" t="s">
        <v>538</v>
      </c>
      <c r="E136" s="100" t="s">
        <v>688</v>
      </c>
      <c r="F136" s="103" t="s">
        <v>7</v>
      </c>
      <c r="G136" s="96">
        <v>2</v>
      </c>
      <c r="H136" s="97">
        <f>Composição!$I$844</f>
        <v>85.207399999999993</v>
      </c>
      <c r="I136" s="113">
        <f t="shared" si="4"/>
        <v>170.41479999999999</v>
      </c>
    </row>
    <row r="137" spans="1:9" ht="26.4" x14ac:dyDescent="0.25">
      <c r="A137" s="197"/>
      <c r="B137" s="92" t="s">
        <v>631</v>
      </c>
      <c r="C137" s="122"/>
      <c r="D137" s="99" t="s">
        <v>206</v>
      </c>
      <c r="E137" s="100" t="s">
        <v>626</v>
      </c>
      <c r="F137" s="103" t="s">
        <v>7</v>
      </c>
      <c r="G137" s="96">
        <v>1</v>
      </c>
      <c r="H137" s="97">
        <v>12590</v>
      </c>
      <c r="I137" s="113">
        <f t="shared" si="4"/>
        <v>12590</v>
      </c>
    </row>
    <row r="138" spans="1:9" ht="26.4" x14ac:dyDescent="0.25">
      <c r="A138" s="197"/>
      <c r="B138" s="92" t="s">
        <v>632</v>
      </c>
      <c r="C138" s="98"/>
      <c r="D138" s="99" t="s">
        <v>206</v>
      </c>
      <c r="E138" s="100" t="s">
        <v>627</v>
      </c>
      <c r="F138" s="129" t="s">
        <v>7</v>
      </c>
      <c r="G138" s="96">
        <v>1</v>
      </c>
      <c r="H138" s="97">
        <v>9576</v>
      </c>
      <c r="I138" s="113">
        <f t="shared" si="4"/>
        <v>9576</v>
      </c>
    </row>
    <row r="139" spans="1:9" ht="26.4" x14ac:dyDescent="0.25">
      <c r="A139" s="197"/>
      <c r="B139" s="92" t="s">
        <v>633</v>
      </c>
      <c r="C139" s="98"/>
      <c r="D139" s="99" t="s">
        <v>206</v>
      </c>
      <c r="E139" s="100" t="s">
        <v>689</v>
      </c>
      <c r="F139" s="129" t="s">
        <v>7</v>
      </c>
      <c r="G139" s="96">
        <v>1</v>
      </c>
      <c r="H139" s="97">
        <v>5673</v>
      </c>
      <c r="I139" s="113">
        <f t="shared" si="4"/>
        <v>5673</v>
      </c>
    </row>
    <row r="140" spans="1:9" x14ac:dyDescent="0.25">
      <c r="A140" s="197"/>
      <c r="B140" s="92" t="s">
        <v>723</v>
      </c>
      <c r="C140" s="127" t="s">
        <v>49</v>
      </c>
      <c r="D140" s="128" t="s">
        <v>582</v>
      </c>
      <c r="E140" s="111" t="s">
        <v>625</v>
      </c>
      <c r="F140" s="129" t="s">
        <v>7</v>
      </c>
      <c r="G140" s="130">
        <v>1</v>
      </c>
      <c r="H140" s="97">
        <f>Composição!$I$853</f>
        <v>2362.0500000000002</v>
      </c>
      <c r="I140" s="113">
        <f t="shared" si="4"/>
        <v>2362.0500000000002</v>
      </c>
    </row>
    <row r="141" spans="1:9" ht="5.25" customHeight="1" x14ac:dyDescent="0.25">
      <c r="A141" s="197"/>
      <c r="B141" s="92"/>
      <c r="C141" s="101"/>
      <c r="D141" s="100"/>
      <c r="E141" s="94"/>
      <c r="F141" s="95"/>
      <c r="G141" s="96"/>
      <c r="H141" s="97"/>
      <c r="I141" s="113"/>
    </row>
    <row r="142" spans="1:9" x14ac:dyDescent="0.25">
      <c r="A142" s="197"/>
      <c r="B142" s="178">
        <v>5</v>
      </c>
      <c r="C142" s="172"/>
      <c r="D142" s="172"/>
      <c r="E142" s="172" t="s">
        <v>418</v>
      </c>
      <c r="F142" s="179"/>
      <c r="G142" s="180"/>
      <c r="H142" s="181"/>
      <c r="I142" s="201">
        <f>SUM(I144:I170)</f>
        <v>55840.823816581993</v>
      </c>
    </row>
    <row r="143" spans="1:9" x14ac:dyDescent="0.25">
      <c r="A143" s="197"/>
      <c r="B143" s="105" t="s">
        <v>91</v>
      </c>
      <c r="C143" s="106"/>
      <c r="D143" s="117"/>
      <c r="E143" s="107" t="s">
        <v>299</v>
      </c>
      <c r="F143" s="108"/>
      <c r="G143" s="109"/>
      <c r="H143" s="121"/>
      <c r="I143" s="202"/>
    </row>
    <row r="144" spans="1:9" x14ac:dyDescent="0.25">
      <c r="A144" s="197"/>
      <c r="B144" s="158" t="s">
        <v>352</v>
      </c>
      <c r="C144" s="98">
        <v>90105</v>
      </c>
      <c r="D144" s="100" t="s">
        <v>1</v>
      </c>
      <c r="E144" s="100" t="s">
        <v>279</v>
      </c>
      <c r="F144" s="103" t="s">
        <v>80</v>
      </c>
      <c r="G144" s="96">
        <f>(G145+G148)*0.5*0.5</f>
        <v>76.349999999999994</v>
      </c>
      <c r="H144" s="97">
        <v>6.38</v>
      </c>
      <c r="I144" s="113">
        <f>G144*H144</f>
        <v>487.11299999999994</v>
      </c>
    </row>
    <row r="145" spans="1:9" x14ac:dyDescent="0.25">
      <c r="A145" s="197"/>
      <c r="B145" s="158" t="s">
        <v>353</v>
      </c>
      <c r="C145" s="102">
        <v>95750</v>
      </c>
      <c r="D145" s="100" t="s">
        <v>1</v>
      </c>
      <c r="E145" s="100" t="s">
        <v>282</v>
      </c>
      <c r="F145" s="112" t="s">
        <v>8</v>
      </c>
      <c r="G145" s="96">
        <f>5.7+17+1.2+20+21+39.5+21.5+34.5</f>
        <v>160.4</v>
      </c>
      <c r="H145" s="97">
        <v>28.1</v>
      </c>
      <c r="I145" s="113">
        <f t="shared" ref="I145:I170" si="5">G145*H145</f>
        <v>4507.2400000000007</v>
      </c>
    </row>
    <row r="146" spans="1:9" x14ac:dyDescent="0.25">
      <c r="A146" s="197"/>
      <c r="B146" s="158" t="s">
        <v>354</v>
      </c>
      <c r="C146" s="102">
        <v>93379</v>
      </c>
      <c r="D146" s="100" t="s">
        <v>1</v>
      </c>
      <c r="E146" s="100" t="s">
        <v>280</v>
      </c>
      <c r="F146" s="103" t="s">
        <v>80</v>
      </c>
      <c r="G146" s="96">
        <f>G144</f>
        <v>76.349999999999994</v>
      </c>
      <c r="H146" s="97">
        <v>13.15</v>
      </c>
      <c r="I146" s="113">
        <f t="shared" si="5"/>
        <v>1004.0024999999999</v>
      </c>
    </row>
    <row r="147" spans="1:9" x14ac:dyDescent="0.25">
      <c r="A147" s="197"/>
      <c r="B147" s="158" t="s">
        <v>355</v>
      </c>
      <c r="C147" s="98" t="s">
        <v>49</v>
      </c>
      <c r="D147" s="128" t="s">
        <v>64</v>
      </c>
      <c r="E147" s="100" t="s">
        <v>281</v>
      </c>
      <c r="F147" s="103" t="s">
        <v>8</v>
      </c>
      <c r="G147" s="96">
        <f>G145</f>
        <v>160.4</v>
      </c>
      <c r="H147" s="97">
        <f>Composição!$I$45</f>
        <v>50.907150999999999</v>
      </c>
      <c r="I147" s="113">
        <f t="shared" si="5"/>
        <v>8165.5070204000003</v>
      </c>
    </row>
    <row r="148" spans="1:9" ht="26.4" x14ac:dyDescent="0.25">
      <c r="A148" s="197"/>
      <c r="B148" s="158" t="s">
        <v>356</v>
      </c>
      <c r="C148" s="98">
        <v>92367</v>
      </c>
      <c r="D148" s="99" t="s">
        <v>1</v>
      </c>
      <c r="E148" s="100" t="s">
        <v>273</v>
      </c>
      <c r="F148" s="112" t="s">
        <v>8</v>
      </c>
      <c r="G148" s="96">
        <f>101+8+19+15+2</f>
        <v>145</v>
      </c>
      <c r="H148" s="97">
        <v>122.95</v>
      </c>
      <c r="I148" s="113">
        <f t="shared" si="5"/>
        <v>17827.75</v>
      </c>
    </row>
    <row r="149" spans="1:9" x14ac:dyDescent="0.25">
      <c r="A149" s="197"/>
      <c r="B149" s="158" t="s">
        <v>357</v>
      </c>
      <c r="C149" s="98">
        <v>98557</v>
      </c>
      <c r="D149" s="100" t="s">
        <v>1</v>
      </c>
      <c r="E149" s="100" t="s">
        <v>245</v>
      </c>
      <c r="F149" s="103" t="s">
        <v>37</v>
      </c>
      <c r="G149" s="96">
        <f>G148*(2*3.14*(0.073/2))</f>
        <v>33.236899999999999</v>
      </c>
      <c r="H149" s="97">
        <v>57.84</v>
      </c>
      <c r="I149" s="113">
        <f t="shared" si="5"/>
        <v>1922.422296</v>
      </c>
    </row>
    <row r="150" spans="1:9" x14ac:dyDescent="0.25">
      <c r="A150" s="197"/>
      <c r="B150" s="158" t="s">
        <v>358</v>
      </c>
      <c r="C150" s="98">
        <v>93382</v>
      </c>
      <c r="D150" s="100" t="s">
        <v>1</v>
      </c>
      <c r="E150" s="100" t="s">
        <v>244</v>
      </c>
      <c r="F150" s="103" t="s">
        <v>80</v>
      </c>
      <c r="G150" s="96">
        <f>G144*0.98</f>
        <v>74.822999999999993</v>
      </c>
      <c r="H150" s="97">
        <v>21.84</v>
      </c>
      <c r="I150" s="113">
        <f t="shared" si="5"/>
        <v>1634.1343199999999</v>
      </c>
    </row>
    <row r="151" spans="1:9" x14ac:dyDescent="0.25">
      <c r="A151" s="197"/>
      <c r="B151" s="158" t="s">
        <v>359</v>
      </c>
      <c r="C151" s="98" t="s">
        <v>49</v>
      </c>
      <c r="D151" s="99" t="s">
        <v>589</v>
      </c>
      <c r="E151" s="100" t="s">
        <v>256</v>
      </c>
      <c r="F151" s="112" t="s">
        <v>7</v>
      </c>
      <c r="G151" s="96">
        <v>1</v>
      </c>
      <c r="H151" s="97">
        <f>Composição!$I$869</f>
        <v>752.14797799999997</v>
      </c>
      <c r="I151" s="113">
        <f t="shared" si="5"/>
        <v>752.14797799999997</v>
      </c>
    </row>
    <row r="152" spans="1:9" x14ac:dyDescent="0.25">
      <c r="A152" s="197"/>
      <c r="B152" s="158" t="s">
        <v>360</v>
      </c>
      <c r="C152" s="98" t="s">
        <v>49</v>
      </c>
      <c r="D152" s="99" t="s">
        <v>594</v>
      </c>
      <c r="E152" s="100" t="s">
        <v>294</v>
      </c>
      <c r="F152" s="112" t="s">
        <v>7</v>
      </c>
      <c r="G152" s="96">
        <v>1</v>
      </c>
      <c r="H152" s="97">
        <f>Composição!$I$888</f>
        <v>639.81630218199996</v>
      </c>
      <c r="I152" s="113">
        <f t="shared" si="5"/>
        <v>639.81630218199996</v>
      </c>
    </row>
    <row r="153" spans="1:9" ht="26.4" x14ac:dyDescent="0.25">
      <c r="A153" s="197"/>
      <c r="B153" s="158" t="s">
        <v>361</v>
      </c>
      <c r="C153" s="98">
        <v>101912</v>
      </c>
      <c r="D153" s="100" t="s">
        <v>1</v>
      </c>
      <c r="E153" s="100" t="s">
        <v>16</v>
      </c>
      <c r="F153" s="112" t="s">
        <v>7</v>
      </c>
      <c r="G153" s="96">
        <v>3</v>
      </c>
      <c r="H153" s="97">
        <v>1714.43</v>
      </c>
      <c r="I153" s="113">
        <f t="shared" si="5"/>
        <v>5143.29</v>
      </c>
    </row>
    <row r="154" spans="1:9" ht="26.4" x14ac:dyDescent="0.25">
      <c r="A154" s="197"/>
      <c r="B154" s="158" t="s">
        <v>362</v>
      </c>
      <c r="C154" s="98">
        <v>102509</v>
      </c>
      <c r="D154" s="99" t="s">
        <v>1</v>
      </c>
      <c r="E154" s="100" t="s">
        <v>295</v>
      </c>
      <c r="F154" s="112" t="s">
        <v>37</v>
      </c>
      <c r="G154" s="96">
        <v>26.65</v>
      </c>
      <c r="H154" s="97">
        <v>20.09</v>
      </c>
      <c r="I154" s="113">
        <f t="shared" si="5"/>
        <v>535.39850000000001</v>
      </c>
    </row>
    <row r="155" spans="1:9" x14ac:dyDescent="0.25">
      <c r="A155" s="197"/>
      <c r="B155" s="105" t="s">
        <v>92</v>
      </c>
      <c r="C155" s="106"/>
      <c r="D155" s="117"/>
      <c r="E155" s="107" t="s">
        <v>300</v>
      </c>
      <c r="F155" s="108"/>
      <c r="G155" s="109"/>
      <c r="H155" s="121"/>
      <c r="I155" s="113"/>
    </row>
    <row r="156" spans="1:9" x14ac:dyDescent="0.25">
      <c r="A156" s="197"/>
      <c r="B156" s="92" t="s">
        <v>363</v>
      </c>
      <c r="C156" s="98">
        <v>101905</v>
      </c>
      <c r="D156" s="100" t="s">
        <v>1</v>
      </c>
      <c r="E156" s="100" t="s">
        <v>396</v>
      </c>
      <c r="F156" s="112" t="s">
        <v>7</v>
      </c>
      <c r="G156" s="96">
        <v>8</v>
      </c>
      <c r="H156" s="97">
        <v>186.74</v>
      </c>
      <c r="I156" s="113">
        <f t="shared" si="5"/>
        <v>1493.92</v>
      </c>
    </row>
    <row r="157" spans="1:9" x14ac:dyDescent="0.25">
      <c r="A157" s="197"/>
      <c r="B157" s="92" t="s">
        <v>364</v>
      </c>
      <c r="C157" s="98">
        <v>101908</v>
      </c>
      <c r="D157" s="100" t="s">
        <v>1</v>
      </c>
      <c r="E157" s="100" t="s">
        <v>267</v>
      </c>
      <c r="F157" s="112" t="s">
        <v>7</v>
      </c>
      <c r="G157" s="96">
        <v>10</v>
      </c>
      <c r="H157" s="97">
        <v>181.15</v>
      </c>
      <c r="I157" s="113">
        <f t="shared" si="5"/>
        <v>1811.5</v>
      </c>
    </row>
    <row r="158" spans="1:9" x14ac:dyDescent="0.25">
      <c r="A158" s="197"/>
      <c r="B158" s="92" t="s">
        <v>365</v>
      </c>
      <c r="C158" s="98">
        <v>102520</v>
      </c>
      <c r="D158" s="99" t="s">
        <v>1</v>
      </c>
      <c r="E158" s="100" t="s">
        <v>103</v>
      </c>
      <c r="F158" s="112" t="s">
        <v>37</v>
      </c>
      <c r="G158" s="96">
        <f>(G156+G157)*(1*1)</f>
        <v>18</v>
      </c>
      <c r="H158" s="97">
        <v>57.29</v>
      </c>
      <c r="I158" s="113">
        <f t="shared" si="5"/>
        <v>1031.22</v>
      </c>
    </row>
    <row r="159" spans="1:9" x14ac:dyDescent="0.25">
      <c r="A159" s="197"/>
      <c r="B159" s="105" t="s">
        <v>93</v>
      </c>
      <c r="C159" s="106"/>
      <c r="D159" s="117"/>
      <c r="E159" s="107" t="s">
        <v>301</v>
      </c>
      <c r="F159" s="108"/>
      <c r="G159" s="109"/>
      <c r="H159" s="121"/>
      <c r="I159" s="113"/>
    </row>
    <row r="160" spans="1:9" x14ac:dyDescent="0.25">
      <c r="A160" s="197"/>
      <c r="B160" s="92" t="s">
        <v>366</v>
      </c>
      <c r="C160" s="93">
        <v>97599</v>
      </c>
      <c r="D160" s="100" t="s">
        <v>1</v>
      </c>
      <c r="E160" s="94" t="s">
        <v>257</v>
      </c>
      <c r="F160" s="95" t="s">
        <v>7</v>
      </c>
      <c r="G160" s="96">
        <v>30</v>
      </c>
      <c r="H160" s="97">
        <v>23.32</v>
      </c>
      <c r="I160" s="113">
        <f t="shared" si="5"/>
        <v>699.6</v>
      </c>
    </row>
    <row r="161" spans="1:9" x14ac:dyDescent="0.25">
      <c r="A161" s="197"/>
      <c r="B161" s="92" t="s">
        <v>367</v>
      </c>
      <c r="C161" s="98" t="s">
        <v>49</v>
      </c>
      <c r="D161" s="99" t="s">
        <v>595</v>
      </c>
      <c r="E161" s="100" t="s">
        <v>260</v>
      </c>
      <c r="F161" s="112" t="s">
        <v>7</v>
      </c>
      <c r="G161" s="96">
        <v>2</v>
      </c>
      <c r="H161" s="97">
        <f>Composição!$I$899</f>
        <v>157.13899999999998</v>
      </c>
      <c r="I161" s="113">
        <f t="shared" si="5"/>
        <v>314.27799999999996</v>
      </c>
    </row>
    <row r="162" spans="1:9" x14ac:dyDescent="0.25">
      <c r="A162" s="197"/>
      <c r="B162" s="92" t="s">
        <v>368</v>
      </c>
      <c r="C162" s="98" t="s">
        <v>49</v>
      </c>
      <c r="D162" s="99" t="s">
        <v>602</v>
      </c>
      <c r="E162" s="100" t="s">
        <v>264</v>
      </c>
      <c r="F162" s="112" t="s">
        <v>7</v>
      </c>
      <c r="G162" s="96">
        <v>2</v>
      </c>
      <c r="H162" s="97">
        <f>Composição!$I$910</f>
        <v>258.59899999999999</v>
      </c>
      <c r="I162" s="113">
        <f t="shared" si="5"/>
        <v>517.19799999999998</v>
      </c>
    </row>
    <row r="163" spans="1:9" x14ac:dyDescent="0.25">
      <c r="A163" s="197"/>
      <c r="B163" s="92" t="s">
        <v>369</v>
      </c>
      <c r="C163" s="98" t="s">
        <v>49</v>
      </c>
      <c r="D163" s="99" t="s">
        <v>607</v>
      </c>
      <c r="E163" s="100" t="s">
        <v>272</v>
      </c>
      <c r="F163" s="112" t="s">
        <v>7</v>
      </c>
      <c r="G163" s="96">
        <v>25</v>
      </c>
      <c r="H163" s="97">
        <f>Composição!$I$920</f>
        <v>15.802</v>
      </c>
      <c r="I163" s="113">
        <f t="shared" si="5"/>
        <v>395.05</v>
      </c>
    </row>
    <row r="164" spans="1:9" x14ac:dyDescent="0.25">
      <c r="A164" s="197"/>
      <c r="B164" s="105" t="s">
        <v>94</v>
      </c>
      <c r="C164" s="106"/>
      <c r="D164" s="117"/>
      <c r="E164" s="107" t="s">
        <v>302</v>
      </c>
      <c r="F164" s="108"/>
      <c r="G164" s="109"/>
      <c r="H164" s="121"/>
      <c r="I164" s="113"/>
    </row>
    <row r="165" spans="1:9" x14ac:dyDescent="0.25">
      <c r="A165" s="197"/>
      <c r="B165" s="92" t="s">
        <v>370</v>
      </c>
      <c r="C165" s="98" t="s">
        <v>49</v>
      </c>
      <c r="D165" s="99" t="s">
        <v>617</v>
      </c>
      <c r="E165" s="100" t="s">
        <v>381</v>
      </c>
      <c r="F165" s="112" t="s">
        <v>7</v>
      </c>
      <c r="G165" s="96">
        <v>1</v>
      </c>
      <c r="H165" s="97">
        <f>Composição!$I$930</f>
        <v>624.97389999999996</v>
      </c>
      <c r="I165" s="113">
        <f t="shared" si="5"/>
        <v>624.97389999999996</v>
      </c>
    </row>
    <row r="166" spans="1:9" x14ac:dyDescent="0.25">
      <c r="A166" s="197"/>
      <c r="B166" s="92" t="s">
        <v>371</v>
      </c>
      <c r="C166" s="98" t="s">
        <v>49</v>
      </c>
      <c r="D166" s="99" t="s">
        <v>623</v>
      </c>
      <c r="E166" s="100" t="s">
        <v>390</v>
      </c>
      <c r="F166" s="112" t="s">
        <v>7</v>
      </c>
      <c r="G166" s="96">
        <v>8</v>
      </c>
      <c r="H166" s="97">
        <f>Composição!$I$941</f>
        <v>143.99</v>
      </c>
      <c r="I166" s="113">
        <f t="shared" si="5"/>
        <v>1151.92</v>
      </c>
    </row>
    <row r="167" spans="1:9" x14ac:dyDescent="0.25">
      <c r="A167" s="197"/>
      <c r="B167" s="92" t="s">
        <v>372</v>
      </c>
      <c r="C167" s="98" t="s">
        <v>49</v>
      </c>
      <c r="D167" s="99" t="s">
        <v>636</v>
      </c>
      <c r="E167" s="100" t="s">
        <v>389</v>
      </c>
      <c r="F167" s="112" t="s">
        <v>7</v>
      </c>
      <c r="G167" s="96">
        <v>2</v>
      </c>
      <c r="H167" s="97">
        <f>Composição!$I$952</f>
        <v>282.90000000000003</v>
      </c>
      <c r="I167" s="113">
        <f t="shared" si="5"/>
        <v>565.80000000000007</v>
      </c>
    </row>
    <row r="168" spans="1:9" x14ac:dyDescent="0.25">
      <c r="A168" s="197"/>
      <c r="B168" s="92" t="s">
        <v>373</v>
      </c>
      <c r="C168" s="98" t="s">
        <v>49</v>
      </c>
      <c r="D168" s="99" t="s">
        <v>653</v>
      </c>
      <c r="E168" s="100" t="s">
        <v>394</v>
      </c>
      <c r="F168" s="112" t="s">
        <v>7</v>
      </c>
      <c r="G168" s="96">
        <v>3</v>
      </c>
      <c r="H168" s="97">
        <f>Composição!$I$963</f>
        <v>492.57</v>
      </c>
      <c r="I168" s="113">
        <f t="shared" si="5"/>
        <v>1477.71</v>
      </c>
    </row>
    <row r="169" spans="1:9" x14ac:dyDescent="0.25">
      <c r="A169" s="197"/>
      <c r="B169" s="92" t="s">
        <v>410</v>
      </c>
      <c r="C169" s="98" t="s">
        <v>49</v>
      </c>
      <c r="D169" s="99" t="s">
        <v>657</v>
      </c>
      <c r="E169" s="100" t="s">
        <v>398</v>
      </c>
      <c r="F169" s="112" t="s">
        <v>7</v>
      </c>
      <c r="G169" s="96">
        <v>1</v>
      </c>
      <c r="H169" s="97">
        <f>Composição!$I$975</f>
        <v>1644.88</v>
      </c>
      <c r="I169" s="113">
        <f t="shared" si="5"/>
        <v>1644.88</v>
      </c>
    </row>
    <row r="170" spans="1:9" x14ac:dyDescent="0.25">
      <c r="A170" s="197"/>
      <c r="B170" s="92" t="s">
        <v>411</v>
      </c>
      <c r="C170" s="98" t="s">
        <v>49</v>
      </c>
      <c r="D170" s="99" t="s">
        <v>660</v>
      </c>
      <c r="E170" s="100" t="s">
        <v>409</v>
      </c>
      <c r="F170" s="112" t="s">
        <v>7</v>
      </c>
      <c r="G170" s="96">
        <v>1</v>
      </c>
      <c r="H170" s="97">
        <f>Composição!$I$993</f>
        <v>1493.9520000000002</v>
      </c>
      <c r="I170" s="113">
        <f t="shared" si="5"/>
        <v>1493.9520000000002</v>
      </c>
    </row>
    <row r="171" spans="1:9" ht="5.25" customHeight="1" x14ac:dyDescent="0.25">
      <c r="A171" s="197"/>
      <c r="B171" s="92"/>
      <c r="C171" s="101"/>
      <c r="D171" s="100"/>
      <c r="E171" s="94"/>
      <c r="F171" s="95"/>
      <c r="G171" s="96"/>
      <c r="H171" s="97"/>
      <c r="I171" s="113"/>
    </row>
    <row r="172" spans="1:9" x14ac:dyDescent="0.25">
      <c r="A172" s="197"/>
      <c r="B172" s="178">
        <v>6</v>
      </c>
      <c r="C172" s="172"/>
      <c r="D172" s="172"/>
      <c r="E172" s="172" t="s">
        <v>417</v>
      </c>
      <c r="F172" s="179"/>
      <c r="G172" s="180"/>
      <c r="H172" s="181"/>
      <c r="I172" s="201">
        <f>SUM(I173:I175)</f>
        <v>15157.798160000002</v>
      </c>
    </row>
    <row r="173" spans="1:9" x14ac:dyDescent="0.25">
      <c r="A173" s="197"/>
      <c r="B173" s="92" t="s">
        <v>140</v>
      </c>
      <c r="C173" s="98" t="s">
        <v>49</v>
      </c>
      <c r="D173" s="99" t="s">
        <v>664</v>
      </c>
      <c r="E173" s="100" t="s">
        <v>483</v>
      </c>
      <c r="F173" s="112" t="s">
        <v>8</v>
      </c>
      <c r="G173" s="96">
        <v>30</v>
      </c>
      <c r="H173" s="97">
        <f>Composição!$I$1017</f>
        <v>209.42395200000001</v>
      </c>
      <c r="I173" s="113">
        <f>G173*H173</f>
        <v>6282.7185600000003</v>
      </c>
    </row>
    <row r="174" spans="1:9" x14ac:dyDescent="0.25">
      <c r="A174" s="197"/>
      <c r="B174" s="92" t="s">
        <v>374</v>
      </c>
      <c r="C174" s="98" t="s">
        <v>49</v>
      </c>
      <c r="D174" s="99" t="s">
        <v>669</v>
      </c>
      <c r="E174" s="100" t="s">
        <v>485</v>
      </c>
      <c r="F174" s="112" t="s">
        <v>8</v>
      </c>
      <c r="G174" s="96">
        <v>9</v>
      </c>
      <c r="H174" s="97">
        <f>Composição!$I$1033</f>
        <v>176.8228</v>
      </c>
      <c r="I174" s="113">
        <f t="shared" ref="I174:I175" si="6">G174*H174</f>
        <v>1591.4051999999999</v>
      </c>
    </row>
    <row r="175" spans="1:9" x14ac:dyDescent="0.25">
      <c r="A175" s="197"/>
      <c r="B175" s="92" t="s">
        <v>432</v>
      </c>
      <c r="C175" s="98" t="s">
        <v>49</v>
      </c>
      <c r="D175" s="99" t="s">
        <v>727</v>
      </c>
      <c r="E175" s="100" t="s">
        <v>474</v>
      </c>
      <c r="F175" s="112" t="s">
        <v>7</v>
      </c>
      <c r="G175" s="96">
        <v>1</v>
      </c>
      <c r="H175" s="97">
        <f>Composição!$I$1062</f>
        <v>7283.6744000000017</v>
      </c>
      <c r="I175" s="113">
        <f t="shared" si="6"/>
        <v>7283.6744000000017</v>
      </c>
    </row>
    <row r="176" spans="1:9" ht="5.25" customHeight="1" x14ac:dyDescent="0.25">
      <c r="A176" s="197"/>
      <c r="B176" s="92"/>
      <c r="C176" s="101"/>
      <c r="D176" s="100"/>
      <c r="E176" s="94"/>
      <c r="F176" s="95"/>
      <c r="G176" s="96"/>
      <c r="H176" s="97"/>
      <c r="I176" s="113"/>
    </row>
    <row r="177" spans="1:9" x14ac:dyDescent="0.25">
      <c r="A177" s="197"/>
      <c r="B177" s="178">
        <v>7</v>
      </c>
      <c r="C177" s="172"/>
      <c r="D177" s="172"/>
      <c r="E177" s="172" t="s">
        <v>645</v>
      </c>
      <c r="F177" s="179"/>
      <c r="G177" s="180"/>
      <c r="H177" s="181"/>
      <c r="I177" s="201">
        <f>SUM(I178:I189)</f>
        <v>149032.9898785</v>
      </c>
    </row>
    <row r="178" spans="1:9" x14ac:dyDescent="0.25">
      <c r="A178" s="197"/>
      <c r="B178" s="92" t="s">
        <v>486</v>
      </c>
      <c r="C178" s="98">
        <v>96977</v>
      </c>
      <c r="D178" s="99" t="s">
        <v>1</v>
      </c>
      <c r="E178" s="100" t="s">
        <v>673</v>
      </c>
      <c r="F178" s="112" t="s">
        <v>8</v>
      </c>
      <c r="G178" s="96">
        <v>800</v>
      </c>
      <c r="H178" s="97">
        <v>46.72</v>
      </c>
      <c r="I178" s="113">
        <f>G178*H178</f>
        <v>37376</v>
      </c>
    </row>
    <row r="179" spans="1:9" x14ac:dyDescent="0.25">
      <c r="A179" s="197"/>
      <c r="B179" s="92" t="s">
        <v>487</v>
      </c>
      <c r="C179" s="98" t="s">
        <v>49</v>
      </c>
      <c r="D179" s="99" t="s">
        <v>98</v>
      </c>
      <c r="E179" s="100" t="s">
        <v>672</v>
      </c>
      <c r="F179" s="103" t="s">
        <v>8</v>
      </c>
      <c r="G179" s="96">
        <f>G178</f>
        <v>800</v>
      </c>
      <c r="H179" s="97">
        <f>Composição!$I$105</f>
        <v>6.2473799999999997</v>
      </c>
      <c r="I179" s="113">
        <f t="shared" ref="I179:I189" si="7">G179*H179</f>
        <v>4997.9039999999995</v>
      </c>
    </row>
    <row r="180" spans="1:9" x14ac:dyDescent="0.25">
      <c r="A180" s="197"/>
      <c r="B180" s="92" t="s">
        <v>647</v>
      </c>
      <c r="C180" s="98">
        <v>96973</v>
      </c>
      <c r="D180" s="99" t="s">
        <v>1</v>
      </c>
      <c r="E180" s="100" t="s">
        <v>646</v>
      </c>
      <c r="F180" s="112" t="s">
        <v>8</v>
      </c>
      <c r="G180" s="96">
        <v>1300</v>
      </c>
      <c r="H180" s="97">
        <v>49.7</v>
      </c>
      <c r="I180" s="113">
        <f t="shared" si="7"/>
        <v>64610.000000000007</v>
      </c>
    </row>
    <row r="181" spans="1:9" ht="12.75" customHeight="1" x14ac:dyDescent="0.25">
      <c r="A181" s="197"/>
      <c r="B181" s="92" t="s">
        <v>690</v>
      </c>
      <c r="C181" s="98">
        <v>98111</v>
      </c>
      <c r="D181" s="99" t="s">
        <v>1</v>
      </c>
      <c r="E181" s="100" t="s">
        <v>649</v>
      </c>
      <c r="F181" s="112" t="s">
        <v>472</v>
      </c>
      <c r="G181" s="96">
        <v>42</v>
      </c>
      <c r="H181" s="97">
        <v>51.91</v>
      </c>
      <c r="I181" s="113">
        <f t="shared" si="7"/>
        <v>2180.2199999999998</v>
      </c>
    </row>
    <row r="182" spans="1:9" x14ac:dyDescent="0.25">
      <c r="A182" s="197"/>
      <c r="B182" s="92" t="s">
        <v>691</v>
      </c>
      <c r="C182" s="98">
        <v>96986</v>
      </c>
      <c r="D182" s="99" t="s">
        <v>1</v>
      </c>
      <c r="E182" s="100" t="s">
        <v>648</v>
      </c>
      <c r="F182" s="112" t="s">
        <v>472</v>
      </c>
      <c r="G182" s="96">
        <v>42</v>
      </c>
      <c r="H182" s="97">
        <v>90.09</v>
      </c>
      <c r="I182" s="113">
        <f t="shared" si="7"/>
        <v>3783.78</v>
      </c>
    </row>
    <row r="183" spans="1:9" x14ac:dyDescent="0.25">
      <c r="A183" s="197"/>
      <c r="B183" s="92" t="s">
        <v>692</v>
      </c>
      <c r="C183" s="98" t="s">
        <v>49</v>
      </c>
      <c r="D183" s="99" t="s">
        <v>753</v>
      </c>
      <c r="E183" s="100" t="s">
        <v>655</v>
      </c>
      <c r="F183" s="112" t="s">
        <v>472</v>
      </c>
      <c r="G183" s="96">
        <v>42</v>
      </c>
      <c r="H183" s="97">
        <f>Composição!$I$1073</f>
        <v>15.939</v>
      </c>
      <c r="I183" s="113">
        <f t="shared" si="7"/>
        <v>669.43799999999999</v>
      </c>
    </row>
    <row r="184" spans="1:9" x14ac:dyDescent="0.25">
      <c r="A184" s="197"/>
      <c r="B184" s="92" t="s">
        <v>693</v>
      </c>
      <c r="C184" s="98">
        <v>95731</v>
      </c>
      <c r="D184" s="99" t="s">
        <v>1</v>
      </c>
      <c r="E184" s="100" t="s">
        <v>656</v>
      </c>
      <c r="F184" s="112" t="s">
        <v>8</v>
      </c>
      <c r="G184" s="96">
        <v>50</v>
      </c>
      <c r="H184" s="97">
        <v>9.76</v>
      </c>
      <c r="I184" s="113">
        <f t="shared" si="7"/>
        <v>488</v>
      </c>
    </row>
    <row r="185" spans="1:9" ht="26.4" x14ac:dyDescent="0.25">
      <c r="A185" s="197"/>
      <c r="B185" s="92" t="s">
        <v>694</v>
      </c>
      <c r="C185" s="98" t="s">
        <v>49</v>
      </c>
      <c r="D185" s="99" t="s">
        <v>779</v>
      </c>
      <c r="E185" s="100" t="s">
        <v>679</v>
      </c>
      <c r="F185" s="112" t="s">
        <v>472</v>
      </c>
      <c r="G185" s="96">
        <v>50</v>
      </c>
      <c r="H185" s="97">
        <f>Composição!$I$1085</f>
        <v>304.99312000000003</v>
      </c>
      <c r="I185" s="113">
        <f t="shared" si="7"/>
        <v>15249.656000000001</v>
      </c>
    </row>
    <row r="186" spans="1:9" x14ac:dyDescent="0.25">
      <c r="A186" s="197"/>
      <c r="B186" s="92" t="s">
        <v>695</v>
      </c>
      <c r="C186" s="98" t="s">
        <v>49</v>
      </c>
      <c r="D186" s="99" t="s">
        <v>785</v>
      </c>
      <c r="E186" s="100" t="s">
        <v>674</v>
      </c>
      <c r="F186" s="103" t="s">
        <v>472</v>
      </c>
      <c r="G186" s="96">
        <v>1300</v>
      </c>
      <c r="H186" s="97">
        <f>Composição!$I$1096</f>
        <v>12.069844999999999</v>
      </c>
      <c r="I186" s="113">
        <f t="shared" si="7"/>
        <v>15690.798499999999</v>
      </c>
    </row>
    <row r="187" spans="1:9" x14ac:dyDescent="0.25">
      <c r="A187" s="197"/>
      <c r="B187" s="92" t="s">
        <v>696</v>
      </c>
      <c r="C187" s="98" t="s">
        <v>49</v>
      </c>
      <c r="D187" s="99" t="s">
        <v>790</v>
      </c>
      <c r="E187" s="100" t="s">
        <v>675</v>
      </c>
      <c r="F187" s="103" t="s">
        <v>8</v>
      </c>
      <c r="G187" s="96">
        <v>6</v>
      </c>
      <c r="H187" s="97">
        <f>Composição!$I$1107</f>
        <v>63.691500000000005</v>
      </c>
      <c r="I187" s="113">
        <f t="shared" si="7"/>
        <v>382.149</v>
      </c>
    </row>
    <row r="188" spans="1:9" x14ac:dyDescent="0.25">
      <c r="A188" s="197"/>
      <c r="B188" s="92" t="s">
        <v>697</v>
      </c>
      <c r="C188" s="98" t="s">
        <v>49</v>
      </c>
      <c r="D188" s="99" t="s">
        <v>797</v>
      </c>
      <c r="E188" s="100" t="s">
        <v>683</v>
      </c>
      <c r="F188" s="103" t="s">
        <v>472</v>
      </c>
      <c r="G188" s="96">
        <v>40</v>
      </c>
      <c r="H188" s="97">
        <f>Composição!$I$1119</f>
        <v>35.064660000000003</v>
      </c>
      <c r="I188" s="113">
        <f t="shared" si="7"/>
        <v>1402.5864000000001</v>
      </c>
    </row>
    <row r="189" spans="1:9" x14ac:dyDescent="0.25">
      <c r="A189" s="197"/>
      <c r="B189" s="92" t="s">
        <v>698</v>
      </c>
      <c r="C189" s="125" t="s">
        <v>941</v>
      </c>
      <c r="D189" s="99"/>
      <c r="E189" s="135" t="s">
        <v>676</v>
      </c>
      <c r="F189" s="136" t="s">
        <v>472</v>
      </c>
      <c r="G189" s="126">
        <v>1</v>
      </c>
      <c r="H189" s="131">
        <f>SUM(I178:I188)*1.5%</f>
        <v>2202.4579785000001</v>
      </c>
      <c r="I189" s="113">
        <f t="shared" si="7"/>
        <v>2202.4579785000001</v>
      </c>
    </row>
    <row r="190" spans="1:9" ht="5.25" customHeight="1" x14ac:dyDescent="0.25">
      <c r="A190" s="197"/>
      <c r="B190" s="92"/>
      <c r="C190" s="101"/>
      <c r="D190" s="100"/>
      <c r="E190" s="94"/>
      <c r="F190" s="95"/>
      <c r="G190" s="96"/>
      <c r="H190" s="97"/>
      <c r="I190" s="113"/>
    </row>
    <row r="191" spans="1:9" x14ac:dyDescent="0.25">
      <c r="A191" s="197"/>
      <c r="B191" s="178">
        <v>8</v>
      </c>
      <c r="C191" s="172"/>
      <c r="D191" s="172"/>
      <c r="E191" s="172" t="s">
        <v>1154</v>
      </c>
      <c r="F191" s="179"/>
      <c r="G191" s="180"/>
      <c r="H191" s="181"/>
      <c r="I191" s="201">
        <f>SUM(I192:I195)</f>
        <v>5329.32</v>
      </c>
    </row>
    <row r="192" spans="1:9" x14ac:dyDescent="0.25">
      <c r="A192" s="197"/>
      <c r="B192" s="92" t="s">
        <v>553</v>
      </c>
      <c r="C192" s="98" t="s">
        <v>49</v>
      </c>
      <c r="D192" s="99" t="s">
        <v>808</v>
      </c>
      <c r="E192" s="137" t="s">
        <v>17</v>
      </c>
      <c r="F192" s="136" t="s">
        <v>472</v>
      </c>
      <c r="G192" s="96">
        <v>1</v>
      </c>
      <c r="H192" s="97">
        <f>Composição!$I$1127</f>
        <v>3139.6</v>
      </c>
      <c r="I192" s="113">
        <f>G192*H192</f>
        <v>3139.6</v>
      </c>
    </row>
    <row r="193" spans="1:9" x14ac:dyDescent="0.25">
      <c r="A193" s="197"/>
      <c r="B193" s="92" t="s">
        <v>554</v>
      </c>
      <c r="C193" s="98" t="s">
        <v>49</v>
      </c>
      <c r="D193" s="99" t="s">
        <v>812</v>
      </c>
      <c r="E193" s="137" t="s">
        <v>640</v>
      </c>
      <c r="F193" s="112" t="s">
        <v>37</v>
      </c>
      <c r="G193" s="96">
        <v>1000</v>
      </c>
      <c r="H193" s="97">
        <f>Composição!$I$1135</f>
        <v>1.0612000000000001</v>
      </c>
      <c r="I193" s="113">
        <f t="shared" ref="I193:I195" si="8">G193*H193</f>
        <v>1061.2</v>
      </c>
    </row>
    <row r="194" spans="1:9" x14ac:dyDescent="0.25">
      <c r="A194" s="197"/>
      <c r="B194" s="92" t="s">
        <v>872</v>
      </c>
      <c r="C194" s="98" t="s">
        <v>49</v>
      </c>
      <c r="D194" s="99" t="s">
        <v>837</v>
      </c>
      <c r="E194" s="137" t="s">
        <v>874</v>
      </c>
      <c r="F194" s="112" t="s">
        <v>472</v>
      </c>
      <c r="G194" s="96">
        <v>1</v>
      </c>
      <c r="H194" s="97">
        <f>Composição!$I$1146</f>
        <v>638.02</v>
      </c>
      <c r="I194" s="113">
        <f t="shared" si="8"/>
        <v>638.02</v>
      </c>
    </row>
    <row r="195" spans="1:9" x14ac:dyDescent="0.25">
      <c r="A195" s="197"/>
      <c r="B195" s="92" t="s">
        <v>873</v>
      </c>
      <c r="C195" s="98" t="s">
        <v>49</v>
      </c>
      <c r="D195" s="99" t="s">
        <v>849</v>
      </c>
      <c r="E195" s="137" t="s">
        <v>877</v>
      </c>
      <c r="F195" s="112" t="s">
        <v>472</v>
      </c>
      <c r="G195" s="96">
        <v>1</v>
      </c>
      <c r="H195" s="97">
        <f>Composição!$I$1155</f>
        <v>490.5</v>
      </c>
      <c r="I195" s="113">
        <f t="shared" si="8"/>
        <v>490.5</v>
      </c>
    </row>
    <row r="196" spans="1:9" ht="5.25" customHeight="1" x14ac:dyDescent="0.25">
      <c r="A196" s="197"/>
      <c r="B196" s="92"/>
      <c r="C196" s="101"/>
      <c r="D196" s="100"/>
      <c r="E196" s="94"/>
      <c r="F196" s="95"/>
      <c r="G196" s="96"/>
      <c r="H196" s="97"/>
      <c r="I196" s="113"/>
    </row>
    <row r="197" spans="1:9" x14ac:dyDescent="0.25">
      <c r="A197" s="197"/>
      <c r="B197" s="204">
        <v>9</v>
      </c>
      <c r="C197" s="182"/>
      <c r="D197" s="182"/>
      <c r="E197" s="182" t="s">
        <v>893</v>
      </c>
      <c r="F197" s="183"/>
      <c r="G197" s="184"/>
      <c r="H197" s="185"/>
      <c r="I197" s="205">
        <f>SUM(I199:I205)</f>
        <v>24027.614663333115</v>
      </c>
    </row>
    <row r="198" spans="1:9" x14ac:dyDescent="0.25">
      <c r="A198" s="197"/>
      <c r="B198" s="66" t="s">
        <v>699</v>
      </c>
      <c r="C198" s="67"/>
      <c r="D198" s="169"/>
      <c r="E198" s="68" t="s">
        <v>894</v>
      </c>
      <c r="F198" s="5"/>
      <c r="G198" s="65"/>
      <c r="H198" s="59"/>
      <c r="I198" s="206"/>
    </row>
    <row r="199" spans="1:9" ht="26.4" x14ac:dyDescent="0.25">
      <c r="A199" s="197"/>
      <c r="B199" s="61" t="s">
        <v>700</v>
      </c>
      <c r="C199" s="21">
        <v>90091</v>
      </c>
      <c r="D199" s="38" t="s">
        <v>1</v>
      </c>
      <c r="E199" s="4" t="s">
        <v>895</v>
      </c>
      <c r="F199" s="5" t="s">
        <v>80</v>
      </c>
      <c r="G199" s="65">
        <f>49.5479*1.3</f>
        <v>64.412270000000007</v>
      </c>
      <c r="H199" s="59">
        <v>5.1100000000000003</v>
      </c>
      <c r="I199" s="206">
        <f>G199*H199</f>
        <v>329.14669970000006</v>
      </c>
    </row>
    <row r="200" spans="1:9" x14ac:dyDescent="0.25">
      <c r="A200" s="186"/>
      <c r="B200" s="61" t="s">
        <v>701</v>
      </c>
      <c r="C200" s="21" t="s">
        <v>49</v>
      </c>
      <c r="D200" s="38" t="s">
        <v>860</v>
      </c>
      <c r="E200" s="4" t="s">
        <v>896</v>
      </c>
      <c r="F200" s="5" t="s">
        <v>472</v>
      </c>
      <c r="G200" s="65">
        <v>1</v>
      </c>
      <c r="H200" s="59">
        <f>Composição!$I$1191</f>
        <v>16280.3114529128</v>
      </c>
      <c r="I200" s="206">
        <f t="shared" ref="I200:I205" si="9">G200*H200</f>
        <v>16280.3114529128</v>
      </c>
    </row>
    <row r="201" spans="1:9" x14ac:dyDescent="0.25">
      <c r="A201" s="186"/>
      <c r="B201" s="66" t="s">
        <v>702</v>
      </c>
      <c r="C201" s="67"/>
      <c r="D201" s="169"/>
      <c r="E201" s="68" t="s">
        <v>897</v>
      </c>
      <c r="F201" s="5"/>
      <c r="G201" s="65"/>
      <c r="H201" s="59"/>
      <c r="I201" s="206"/>
    </row>
    <row r="202" spans="1:9" ht="26.4" x14ac:dyDescent="0.25">
      <c r="A202" s="186"/>
      <c r="B202" s="61" t="s">
        <v>703</v>
      </c>
      <c r="C202" s="21">
        <v>90091</v>
      </c>
      <c r="D202" s="38" t="s">
        <v>1</v>
      </c>
      <c r="E202" s="4" t="s">
        <v>895</v>
      </c>
      <c r="F202" s="5" t="s">
        <v>80</v>
      </c>
      <c r="G202" s="65">
        <f>(12.56*3)</f>
        <v>37.68</v>
      </c>
      <c r="H202" s="59">
        <v>5.1100000000000003</v>
      </c>
      <c r="I202" s="206">
        <f t="shared" si="9"/>
        <v>192.54480000000001</v>
      </c>
    </row>
    <row r="203" spans="1:9" x14ac:dyDescent="0.25">
      <c r="A203" s="186"/>
      <c r="B203" s="61" t="s">
        <v>704</v>
      </c>
      <c r="C203" s="21" t="s">
        <v>49</v>
      </c>
      <c r="D203" s="38" t="s">
        <v>867</v>
      </c>
      <c r="E203" s="4" t="s">
        <v>898</v>
      </c>
      <c r="F203" s="5" t="s">
        <v>37</v>
      </c>
      <c r="G203" s="65">
        <f>12.56*3</f>
        <v>37.68</v>
      </c>
      <c r="H203" s="59">
        <f>Composição!$I$1203</f>
        <v>18.024802000000001</v>
      </c>
      <c r="I203" s="206">
        <f t="shared" si="9"/>
        <v>679.17453936000004</v>
      </c>
    </row>
    <row r="204" spans="1:9" x14ac:dyDescent="0.25">
      <c r="A204" s="186"/>
      <c r="B204" s="61" t="s">
        <v>705</v>
      </c>
      <c r="C204" s="21" t="s">
        <v>49</v>
      </c>
      <c r="D204" s="38" t="s">
        <v>875</v>
      </c>
      <c r="E204" s="4" t="s">
        <v>899</v>
      </c>
      <c r="F204" s="5" t="s">
        <v>472</v>
      </c>
      <c r="G204" s="65">
        <v>1</v>
      </c>
      <c r="H204" s="59">
        <f>Composição!$I$1220</f>
        <v>6162.7335303603195</v>
      </c>
      <c r="I204" s="206">
        <f t="shared" si="9"/>
        <v>6162.7335303603195</v>
      </c>
    </row>
    <row r="205" spans="1:9" ht="26.4" x14ac:dyDescent="0.25">
      <c r="A205" s="186"/>
      <c r="B205" s="61" t="s">
        <v>1155</v>
      </c>
      <c r="C205" s="21" t="s">
        <v>49</v>
      </c>
      <c r="D205" s="38" t="s">
        <v>1101</v>
      </c>
      <c r="E205" s="4" t="s">
        <v>900</v>
      </c>
      <c r="F205" s="5" t="s">
        <v>8</v>
      </c>
      <c r="G205" s="65">
        <v>2.2999999999999998</v>
      </c>
      <c r="H205" s="59">
        <f>Composição!$I$1239</f>
        <v>166.82766999999998</v>
      </c>
      <c r="I205" s="206">
        <f t="shared" si="9"/>
        <v>383.70364099999995</v>
      </c>
    </row>
    <row r="206" spans="1:9" ht="5.25" customHeight="1" x14ac:dyDescent="0.25">
      <c r="A206" s="197"/>
      <c r="B206" s="92"/>
      <c r="C206" s="101"/>
      <c r="D206" s="100"/>
      <c r="E206" s="94"/>
      <c r="F206" s="95"/>
      <c r="G206" s="96"/>
      <c r="H206" s="97"/>
      <c r="I206" s="113"/>
    </row>
    <row r="207" spans="1:9" x14ac:dyDescent="0.25">
      <c r="A207" s="186"/>
      <c r="B207" s="204">
        <v>10</v>
      </c>
      <c r="C207" s="182"/>
      <c r="D207" s="182"/>
      <c r="E207" s="182" t="s">
        <v>901</v>
      </c>
      <c r="F207" s="183"/>
      <c r="G207" s="184"/>
      <c r="H207" s="185"/>
      <c r="I207" s="205">
        <f>SUM(I208:I215)</f>
        <v>413584.6880582064</v>
      </c>
    </row>
    <row r="208" spans="1:9" x14ac:dyDescent="0.25">
      <c r="A208" s="186"/>
      <c r="B208" s="61" t="s">
        <v>1156</v>
      </c>
      <c r="C208" s="21" t="s">
        <v>49</v>
      </c>
      <c r="D208" s="38" t="s">
        <v>1103</v>
      </c>
      <c r="E208" s="4" t="s">
        <v>902</v>
      </c>
      <c r="F208" s="5" t="s">
        <v>472</v>
      </c>
      <c r="G208" s="65">
        <v>2</v>
      </c>
      <c r="H208" s="59">
        <f>Composição!$I$1280</f>
        <v>1696.6402691508003</v>
      </c>
      <c r="I208" s="206">
        <f>G208*H208</f>
        <v>3393.2805383016007</v>
      </c>
    </row>
    <row r="209" spans="1:9" x14ac:dyDescent="0.25">
      <c r="A209" s="186"/>
      <c r="B209" s="61" t="s">
        <v>1157</v>
      </c>
      <c r="C209" s="21" t="s">
        <v>49</v>
      </c>
      <c r="D209" s="38" t="s">
        <v>1104</v>
      </c>
      <c r="E209" s="4" t="s">
        <v>903</v>
      </c>
      <c r="F209" s="5" t="s">
        <v>472</v>
      </c>
      <c r="G209" s="65">
        <v>3</v>
      </c>
      <c r="H209" s="59">
        <f>Composição!$I$1307</f>
        <v>1862.6658986008003</v>
      </c>
      <c r="I209" s="206">
        <f t="shared" ref="I209:I215" si="10">G209*H209</f>
        <v>5587.9976958024008</v>
      </c>
    </row>
    <row r="210" spans="1:9" x14ac:dyDescent="0.25">
      <c r="A210" s="186"/>
      <c r="B210" s="61" t="s">
        <v>1158</v>
      </c>
      <c r="C210" s="21" t="s">
        <v>49</v>
      </c>
      <c r="D210" s="38" t="s">
        <v>1105</v>
      </c>
      <c r="E210" s="4" t="s">
        <v>904</v>
      </c>
      <c r="F210" s="5" t="s">
        <v>472</v>
      </c>
      <c r="G210" s="65">
        <v>1</v>
      </c>
      <c r="H210" s="59">
        <f>Composição!$I$1334</f>
        <v>2793.9988479012004</v>
      </c>
      <c r="I210" s="206">
        <f t="shared" si="10"/>
        <v>2793.9988479012004</v>
      </c>
    </row>
    <row r="211" spans="1:9" x14ac:dyDescent="0.25">
      <c r="A211" s="186"/>
      <c r="B211" s="61" t="s">
        <v>1159</v>
      </c>
      <c r="C211" s="21" t="s">
        <v>49</v>
      </c>
      <c r="D211" s="38" t="s">
        <v>1106</v>
      </c>
      <c r="E211" s="4" t="s">
        <v>905</v>
      </c>
      <c r="F211" s="5" t="s">
        <v>472</v>
      </c>
      <c r="G211" s="65">
        <v>1</v>
      </c>
      <c r="H211" s="59">
        <f>Composição!$I$1361</f>
        <v>2461.9475890012</v>
      </c>
      <c r="I211" s="206">
        <f t="shared" si="10"/>
        <v>2461.9475890012</v>
      </c>
    </row>
    <row r="212" spans="1:9" ht="26.4" x14ac:dyDescent="0.25">
      <c r="A212" s="186"/>
      <c r="B212" s="61" t="s">
        <v>1160</v>
      </c>
      <c r="C212" s="21">
        <v>94996</v>
      </c>
      <c r="D212" s="38" t="s">
        <v>1</v>
      </c>
      <c r="E212" s="4" t="s">
        <v>940</v>
      </c>
      <c r="F212" s="5" t="s">
        <v>37</v>
      </c>
      <c r="G212" s="65">
        <v>246.5</v>
      </c>
      <c r="H212" s="59">
        <v>127.88</v>
      </c>
      <c r="I212" s="206">
        <f t="shared" si="10"/>
        <v>31522.42</v>
      </c>
    </row>
    <row r="213" spans="1:9" ht="26.4" x14ac:dyDescent="0.25">
      <c r="A213" s="186"/>
      <c r="B213" s="61" t="s">
        <v>1161</v>
      </c>
      <c r="C213" s="21" t="s">
        <v>49</v>
      </c>
      <c r="D213" s="38" t="s">
        <v>1107</v>
      </c>
      <c r="E213" s="4" t="s">
        <v>906</v>
      </c>
      <c r="F213" s="5" t="s">
        <v>37</v>
      </c>
      <c r="G213" s="65">
        <v>207.50400000000002</v>
      </c>
      <c r="H213" s="59">
        <f>Composição!$I$1373</f>
        <v>33.821800000000003</v>
      </c>
      <c r="I213" s="206">
        <f t="shared" si="10"/>
        <v>7018.1587872000009</v>
      </c>
    </row>
    <row r="214" spans="1:9" ht="26.4" x14ac:dyDescent="0.25">
      <c r="A214" s="186"/>
      <c r="B214" s="61" t="s">
        <v>1162</v>
      </c>
      <c r="C214" s="21" t="s">
        <v>206</v>
      </c>
      <c r="D214" s="38" t="s">
        <v>125</v>
      </c>
      <c r="E214" s="4" t="s">
        <v>907</v>
      </c>
      <c r="F214" s="5" t="s">
        <v>37</v>
      </c>
      <c r="G214" s="65">
        <v>463.97</v>
      </c>
      <c r="H214" s="59">
        <v>521.17999999999995</v>
      </c>
      <c r="I214" s="206">
        <f t="shared" si="10"/>
        <v>241811.88459999999</v>
      </c>
    </row>
    <row r="215" spans="1:9" x14ac:dyDescent="0.25">
      <c r="A215" s="186"/>
      <c r="B215" s="61" t="s">
        <v>1163</v>
      </c>
      <c r="C215" s="160"/>
      <c r="D215" s="128" t="s">
        <v>206</v>
      </c>
      <c r="E215" s="167" t="s">
        <v>1152</v>
      </c>
      <c r="F215" s="129" t="s">
        <v>472</v>
      </c>
      <c r="G215" s="130">
        <v>1</v>
      </c>
      <c r="H215" s="131">
        <v>118995</v>
      </c>
      <c r="I215" s="206">
        <f t="shared" si="10"/>
        <v>118995</v>
      </c>
    </row>
    <row r="216" spans="1:9" ht="5.25" customHeight="1" x14ac:dyDescent="0.25">
      <c r="A216" s="197"/>
      <c r="B216" s="92"/>
      <c r="C216" s="101"/>
      <c r="D216" s="100"/>
      <c r="E216" s="94"/>
      <c r="F216" s="95"/>
      <c r="G216" s="96"/>
      <c r="H216" s="97"/>
      <c r="I216" s="206"/>
    </row>
    <row r="217" spans="1:9" x14ac:dyDescent="0.25">
      <c r="A217" s="186"/>
      <c r="B217" s="204">
        <v>11</v>
      </c>
      <c r="C217" s="182"/>
      <c r="D217" s="182"/>
      <c r="E217" s="182" t="s">
        <v>908</v>
      </c>
      <c r="F217" s="183"/>
      <c r="G217" s="184"/>
      <c r="H217" s="185"/>
      <c r="I217" s="205">
        <f>SUM(I218:I231)</f>
        <v>144087.67638461996</v>
      </c>
    </row>
    <row r="218" spans="1:9" x14ac:dyDescent="0.25">
      <c r="A218" s="186"/>
      <c r="B218" s="61" t="s">
        <v>1164</v>
      </c>
      <c r="C218" s="21" t="s">
        <v>49</v>
      </c>
      <c r="D218" s="38" t="s">
        <v>1108</v>
      </c>
      <c r="E218" s="4" t="s">
        <v>909</v>
      </c>
      <c r="F218" s="5" t="s">
        <v>472</v>
      </c>
      <c r="G218" s="65">
        <v>3</v>
      </c>
      <c r="H218" s="59">
        <f>Composição!$I$1394</f>
        <v>2010.8286443333336</v>
      </c>
      <c r="I218" s="206">
        <f>G218*H218</f>
        <v>6032.4859330000008</v>
      </c>
    </row>
    <row r="219" spans="1:9" x14ac:dyDescent="0.25">
      <c r="A219" s="186"/>
      <c r="B219" s="61" t="s">
        <v>1165</v>
      </c>
      <c r="C219" s="21" t="s">
        <v>49</v>
      </c>
      <c r="D219" s="38" t="s">
        <v>1109</v>
      </c>
      <c r="E219" s="4" t="s">
        <v>910</v>
      </c>
      <c r="F219" s="5" t="s">
        <v>472</v>
      </c>
      <c r="G219" s="65">
        <v>1</v>
      </c>
      <c r="H219" s="59">
        <f>Composição!$I$1415</f>
        <v>2730.4628199999997</v>
      </c>
      <c r="I219" s="206">
        <f t="shared" ref="I219:I231" si="11">G219*H219</f>
        <v>2730.4628199999997</v>
      </c>
    </row>
    <row r="220" spans="1:9" x14ac:dyDescent="0.25">
      <c r="A220" s="186"/>
      <c r="B220" s="61" t="s">
        <v>1166</v>
      </c>
      <c r="C220" s="21" t="s">
        <v>49</v>
      </c>
      <c r="D220" s="38" t="s">
        <v>1110</v>
      </c>
      <c r="E220" s="4" t="s">
        <v>911</v>
      </c>
      <c r="F220" s="5" t="s">
        <v>472</v>
      </c>
      <c r="G220" s="65">
        <v>2</v>
      </c>
      <c r="H220" s="59">
        <f>Composição!$I$1431</f>
        <v>209.76743259999998</v>
      </c>
      <c r="I220" s="206">
        <f t="shared" si="11"/>
        <v>419.53486519999996</v>
      </c>
    </row>
    <row r="221" spans="1:9" x14ac:dyDescent="0.25">
      <c r="A221" s="186"/>
      <c r="B221" s="61" t="s">
        <v>1167</v>
      </c>
      <c r="C221" s="21" t="s">
        <v>49</v>
      </c>
      <c r="D221" s="38" t="s">
        <v>1111</v>
      </c>
      <c r="E221" s="4" t="s">
        <v>912</v>
      </c>
      <c r="F221" s="5" t="s">
        <v>472</v>
      </c>
      <c r="G221" s="65">
        <v>1</v>
      </c>
      <c r="H221" s="59">
        <f>Composição!$I$1447</f>
        <v>271.66384490000002</v>
      </c>
      <c r="I221" s="206">
        <f t="shared" si="11"/>
        <v>271.66384490000002</v>
      </c>
    </row>
    <row r="222" spans="1:9" x14ac:dyDescent="0.25">
      <c r="A222" s="186"/>
      <c r="B222" s="61" t="s">
        <v>1168</v>
      </c>
      <c r="C222" s="21" t="s">
        <v>49</v>
      </c>
      <c r="D222" s="38" t="s">
        <v>1112</v>
      </c>
      <c r="E222" s="4" t="s">
        <v>913</v>
      </c>
      <c r="F222" s="5" t="s">
        <v>472</v>
      </c>
      <c r="G222" s="65">
        <v>9</v>
      </c>
      <c r="H222" s="59">
        <f>Composição!$I$1465</f>
        <v>433.45259140000002</v>
      </c>
      <c r="I222" s="206">
        <f t="shared" si="11"/>
        <v>3901.0733226000002</v>
      </c>
    </row>
    <row r="223" spans="1:9" x14ac:dyDescent="0.25">
      <c r="A223" s="186"/>
      <c r="B223" s="61" t="s">
        <v>1169</v>
      </c>
      <c r="C223" s="21" t="s">
        <v>49</v>
      </c>
      <c r="D223" s="38" t="s">
        <v>1113</v>
      </c>
      <c r="E223" s="4" t="s">
        <v>914</v>
      </c>
      <c r="F223" s="5" t="s">
        <v>472</v>
      </c>
      <c r="G223" s="65">
        <v>1</v>
      </c>
      <c r="H223" s="59">
        <f>Composição!$I$1484</f>
        <v>534.10052264000001</v>
      </c>
      <c r="I223" s="206">
        <f t="shared" si="11"/>
        <v>534.10052264000001</v>
      </c>
    </row>
    <row r="224" spans="1:9" x14ac:dyDescent="0.25">
      <c r="A224" s="186"/>
      <c r="B224" s="61" t="s">
        <v>1170</v>
      </c>
      <c r="C224" s="21" t="s">
        <v>49</v>
      </c>
      <c r="D224" s="38" t="s">
        <v>1114</v>
      </c>
      <c r="E224" s="4" t="s">
        <v>915</v>
      </c>
      <c r="F224" s="5" t="s">
        <v>8</v>
      </c>
      <c r="G224" s="65">
        <v>388</v>
      </c>
      <c r="H224" s="59">
        <f>Composição!$I$1503</f>
        <v>79.7812658</v>
      </c>
      <c r="I224" s="206">
        <f t="shared" si="11"/>
        <v>30955.131130400001</v>
      </c>
    </row>
    <row r="225" spans="1:9" ht="26.4" x14ac:dyDescent="0.25">
      <c r="A225" s="186"/>
      <c r="B225" s="61" t="s">
        <v>1171</v>
      </c>
      <c r="C225" s="21" t="s">
        <v>49</v>
      </c>
      <c r="D225" s="38" t="s">
        <v>1115</v>
      </c>
      <c r="E225" s="4" t="s">
        <v>916</v>
      </c>
      <c r="F225" s="5" t="s">
        <v>8</v>
      </c>
      <c r="G225" s="65">
        <v>79</v>
      </c>
      <c r="H225" s="59">
        <f>Composição!$I$1520</f>
        <v>374.093525</v>
      </c>
      <c r="I225" s="206">
        <f t="shared" si="11"/>
        <v>29553.388475</v>
      </c>
    </row>
    <row r="226" spans="1:9" ht="26.4" x14ac:dyDescent="0.25">
      <c r="A226" s="186"/>
      <c r="B226" s="61" t="s">
        <v>1172</v>
      </c>
      <c r="C226" s="21" t="s">
        <v>49</v>
      </c>
      <c r="D226" s="38" t="s">
        <v>1116</v>
      </c>
      <c r="E226" s="4" t="s">
        <v>917</v>
      </c>
      <c r="F226" s="5" t="s">
        <v>8</v>
      </c>
      <c r="G226" s="65">
        <v>84</v>
      </c>
      <c r="H226" s="59">
        <f>Composição!$I$1537</f>
        <v>448.60994999999997</v>
      </c>
      <c r="I226" s="206">
        <f t="shared" si="11"/>
        <v>37683.235799999995</v>
      </c>
    </row>
    <row r="227" spans="1:9" x14ac:dyDescent="0.25">
      <c r="A227" s="186"/>
      <c r="B227" s="61" t="s">
        <v>1173</v>
      </c>
      <c r="C227" s="21" t="s">
        <v>49</v>
      </c>
      <c r="D227" s="38" t="s">
        <v>1117</v>
      </c>
      <c r="E227" s="4" t="s">
        <v>918</v>
      </c>
      <c r="F227" s="5" t="s">
        <v>8</v>
      </c>
      <c r="G227" s="65">
        <v>54</v>
      </c>
      <c r="H227" s="59">
        <f>Composição!$I$1553</f>
        <v>73.802446000000003</v>
      </c>
      <c r="I227" s="206">
        <f t="shared" si="11"/>
        <v>3985.3320840000001</v>
      </c>
    </row>
    <row r="228" spans="1:9" x14ac:dyDescent="0.25">
      <c r="A228" s="186"/>
      <c r="B228" s="61" t="s">
        <v>1174</v>
      </c>
      <c r="C228" s="21" t="s">
        <v>49</v>
      </c>
      <c r="D228" s="38" t="s">
        <v>1118</v>
      </c>
      <c r="E228" s="4" t="s">
        <v>919</v>
      </c>
      <c r="F228" s="5" t="s">
        <v>8</v>
      </c>
      <c r="G228" s="65">
        <v>70</v>
      </c>
      <c r="H228" s="59">
        <f>Composição!$I$1569</f>
        <v>99.54911899999999</v>
      </c>
      <c r="I228" s="206">
        <f t="shared" si="11"/>
        <v>6968.438329999999</v>
      </c>
    </row>
    <row r="229" spans="1:9" x14ac:dyDescent="0.25">
      <c r="A229" s="186"/>
      <c r="B229" s="61" t="s">
        <v>1175</v>
      </c>
      <c r="C229" s="21" t="s">
        <v>49</v>
      </c>
      <c r="D229" s="38" t="s">
        <v>1119</v>
      </c>
      <c r="E229" s="4" t="s">
        <v>920</v>
      </c>
      <c r="F229" s="5" t="s">
        <v>8</v>
      </c>
      <c r="G229" s="65">
        <v>85</v>
      </c>
      <c r="H229" s="59">
        <f>Composição!$I$1585</f>
        <v>121.45181000000001</v>
      </c>
      <c r="I229" s="206">
        <f t="shared" si="11"/>
        <v>10323.403850000001</v>
      </c>
    </row>
    <row r="230" spans="1:9" ht="26.4" x14ac:dyDescent="0.25">
      <c r="A230" s="186"/>
      <c r="B230" s="61" t="s">
        <v>1176</v>
      </c>
      <c r="C230" s="21" t="s">
        <v>921</v>
      </c>
      <c r="D230" s="4" t="s">
        <v>1</v>
      </c>
      <c r="E230" s="4" t="s">
        <v>922</v>
      </c>
      <c r="F230" s="5" t="s">
        <v>8</v>
      </c>
      <c r="G230" s="65">
        <v>38</v>
      </c>
      <c r="H230" s="59">
        <v>145.97</v>
      </c>
      <c r="I230" s="206">
        <f t="shared" si="11"/>
        <v>5546.86</v>
      </c>
    </row>
    <row r="231" spans="1:9" x14ac:dyDescent="0.25">
      <c r="A231" s="186"/>
      <c r="B231" s="61" t="s">
        <v>1177</v>
      </c>
      <c r="C231" s="21" t="s">
        <v>49</v>
      </c>
      <c r="D231" s="38" t="s">
        <v>1120</v>
      </c>
      <c r="E231" s="4" t="s">
        <v>1128</v>
      </c>
      <c r="F231" s="5" t="s">
        <v>472</v>
      </c>
      <c r="G231" s="65">
        <v>1</v>
      </c>
      <c r="H231" s="59">
        <f>Composição!$I$1605</f>
        <v>5182.5654068799986</v>
      </c>
      <c r="I231" s="206">
        <f t="shared" si="11"/>
        <v>5182.5654068799986</v>
      </c>
    </row>
    <row r="232" spans="1:9" ht="5.25" customHeight="1" x14ac:dyDescent="0.25">
      <c r="A232" s="197"/>
      <c r="B232" s="92"/>
      <c r="C232" s="101"/>
      <c r="D232" s="100"/>
      <c r="E232" s="94"/>
      <c r="F232" s="95"/>
      <c r="G232" s="96"/>
      <c r="H232" s="97"/>
      <c r="I232" s="113"/>
    </row>
    <row r="233" spans="1:9" x14ac:dyDescent="0.25">
      <c r="A233" s="186"/>
      <c r="B233" s="204">
        <v>12</v>
      </c>
      <c r="C233" s="182"/>
      <c r="D233" s="182"/>
      <c r="E233" s="182" t="s">
        <v>923</v>
      </c>
      <c r="F233" s="183"/>
      <c r="G233" s="184"/>
      <c r="H233" s="185"/>
      <c r="I233" s="205">
        <f>SUM(I234:I245)</f>
        <v>424777.90373877023</v>
      </c>
    </row>
    <row r="234" spans="1:9" ht="14.25" customHeight="1" x14ac:dyDescent="0.25">
      <c r="A234" s="186"/>
      <c r="B234" s="61" t="s">
        <v>1178</v>
      </c>
      <c r="C234" s="21" t="s">
        <v>49</v>
      </c>
      <c r="D234" s="38" t="s">
        <v>1121</v>
      </c>
      <c r="E234" s="4" t="s">
        <v>1131</v>
      </c>
      <c r="F234" s="5" t="s">
        <v>8</v>
      </c>
      <c r="G234" s="65">
        <v>29</v>
      </c>
      <c r="H234" s="59">
        <f>Composição!$I$1623</f>
        <v>388.83475000000004</v>
      </c>
      <c r="I234" s="206">
        <f>G234*H234</f>
        <v>11276.207750000001</v>
      </c>
    </row>
    <row r="235" spans="1:9" x14ac:dyDescent="0.25">
      <c r="A235" s="186"/>
      <c r="B235" s="61" t="s">
        <v>1179</v>
      </c>
      <c r="C235" s="21" t="s">
        <v>49</v>
      </c>
      <c r="D235" s="38" t="s">
        <v>1122</v>
      </c>
      <c r="E235" s="4" t="s">
        <v>1124</v>
      </c>
      <c r="F235" s="5" t="s">
        <v>37</v>
      </c>
      <c r="G235" s="65">
        <v>100</v>
      </c>
      <c r="H235" s="59">
        <f>Composição!$I$1638</f>
        <v>539.23410000000001</v>
      </c>
      <c r="I235" s="206">
        <f t="shared" ref="I235:I245" si="12">G235*H235</f>
        <v>53923.41</v>
      </c>
    </row>
    <row r="236" spans="1:9" x14ac:dyDescent="0.25">
      <c r="A236" s="198" t="s">
        <v>1091</v>
      </c>
      <c r="B236" s="61" t="s">
        <v>1180</v>
      </c>
      <c r="C236" s="220">
        <v>97622</v>
      </c>
      <c r="D236" s="4" t="s">
        <v>1</v>
      </c>
      <c r="E236" s="4" t="s">
        <v>1125</v>
      </c>
      <c r="F236" s="5" t="s">
        <v>80</v>
      </c>
      <c r="G236" s="65">
        <v>35</v>
      </c>
      <c r="H236" s="59">
        <v>39.479999999999997</v>
      </c>
      <c r="I236" s="206">
        <f t="shared" si="12"/>
        <v>1381.8</v>
      </c>
    </row>
    <row r="237" spans="1:9" ht="26.4" x14ac:dyDescent="0.25">
      <c r="A237" s="186"/>
      <c r="B237" s="61" t="s">
        <v>1181</v>
      </c>
      <c r="C237" s="21">
        <v>100761</v>
      </c>
      <c r="D237" s="4" t="s">
        <v>1</v>
      </c>
      <c r="E237" s="4" t="s">
        <v>1126</v>
      </c>
      <c r="F237" s="5" t="s">
        <v>37</v>
      </c>
      <c r="G237" s="65">
        <v>285</v>
      </c>
      <c r="H237" s="59">
        <v>34.93</v>
      </c>
      <c r="I237" s="206">
        <f t="shared" si="12"/>
        <v>9955.0499999999993</v>
      </c>
    </row>
    <row r="238" spans="1:9" x14ac:dyDescent="0.25">
      <c r="A238" s="186"/>
      <c r="B238" s="61" t="s">
        <v>1182</v>
      </c>
      <c r="C238" s="21">
        <v>88423</v>
      </c>
      <c r="D238" s="4" t="s">
        <v>1</v>
      </c>
      <c r="E238" s="4" t="s">
        <v>1127</v>
      </c>
      <c r="F238" s="5" t="s">
        <v>37</v>
      </c>
      <c r="G238" s="65">
        <v>231</v>
      </c>
      <c r="H238" s="59">
        <v>14.5</v>
      </c>
      <c r="I238" s="206">
        <f t="shared" si="12"/>
        <v>3349.5</v>
      </c>
    </row>
    <row r="239" spans="1:9" x14ac:dyDescent="0.25">
      <c r="A239" s="186"/>
      <c r="B239" s="61" t="s">
        <v>1183</v>
      </c>
      <c r="C239" s="21" t="s">
        <v>49</v>
      </c>
      <c r="D239" s="38" t="s">
        <v>1133</v>
      </c>
      <c r="E239" s="4" t="s">
        <v>1147</v>
      </c>
      <c r="F239" s="5" t="s">
        <v>472</v>
      </c>
      <c r="G239" s="65">
        <v>2</v>
      </c>
      <c r="H239" s="59">
        <f>Composição!$I$1656</f>
        <v>8671.7218493851124</v>
      </c>
      <c r="I239" s="206">
        <f t="shared" si="12"/>
        <v>17343.443698770225</v>
      </c>
    </row>
    <row r="240" spans="1:9" x14ac:dyDescent="0.25">
      <c r="A240" s="186"/>
      <c r="B240" s="61" t="s">
        <v>1184</v>
      </c>
      <c r="C240" s="21" t="s">
        <v>49</v>
      </c>
      <c r="D240" s="38" t="s">
        <v>1145</v>
      </c>
      <c r="E240" s="4" t="s">
        <v>1148</v>
      </c>
      <c r="F240" s="5" t="s">
        <v>472</v>
      </c>
      <c r="G240" s="65">
        <v>1</v>
      </c>
      <c r="H240" s="59">
        <f>Composição!$I$1678</f>
        <v>6005.5599400000001</v>
      </c>
      <c r="I240" s="206">
        <f t="shared" si="12"/>
        <v>6005.5599400000001</v>
      </c>
    </row>
    <row r="241" spans="1:9" x14ac:dyDescent="0.25">
      <c r="A241" s="186"/>
      <c r="B241" s="61" t="s">
        <v>1185</v>
      </c>
      <c r="C241" s="21" t="s">
        <v>1197</v>
      </c>
      <c r="D241" s="38" t="s">
        <v>1198</v>
      </c>
      <c r="E241" s="4" t="s">
        <v>1195</v>
      </c>
      <c r="F241" s="5" t="s">
        <v>37</v>
      </c>
      <c r="G241" s="65">
        <f>(1.7*2.14)+(1.7*2.2)+(5.6*2.14)</f>
        <v>19.362000000000002</v>
      </c>
      <c r="H241" s="59">
        <v>494.52</v>
      </c>
      <c r="I241" s="206">
        <f t="shared" si="12"/>
        <v>9574.89624</v>
      </c>
    </row>
    <row r="242" spans="1:9" x14ac:dyDescent="0.25">
      <c r="A242" s="186"/>
      <c r="B242" s="61" t="s">
        <v>1186</v>
      </c>
      <c r="C242" s="21" t="s">
        <v>49</v>
      </c>
      <c r="D242" s="38" t="s">
        <v>1199</v>
      </c>
      <c r="E242" s="4" t="s">
        <v>1206</v>
      </c>
      <c r="F242" s="5" t="s">
        <v>472</v>
      </c>
      <c r="G242" s="65">
        <v>1</v>
      </c>
      <c r="H242" s="59">
        <f>Composição!$I$1717</f>
        <v>6692.2061100000001</v>
      </c>
      <c r="I242" s="206">
        <f t="shared" si="12"/>
        <v>6692.2061100000001</v>
      </c>
    </row>
    <row r="243" spans="1:9" x14ac:dyDescent="0.25">
      <c r="A243" s="186"/>
      <c r="B243" s="61" t="s">
        <v>1191</v>
      </c>
      <c r="C243" s="21"/>
      <c r="D243" s="38" t="s">
        <v>206</v>
      </c>
      <c r="E243" s="4" t="s">
        <v>1244</v>
      </c>
      <c r="F243" s="5" t="s">
        <v>8</v>
      </c>
      <c r="G243" s="65">
        <v>302</v>
      </c>
      <c r="H243" s="59">
        <v>960.44</v>
      </c>
      <c r="I243" s="206">
        <f t="shared" si="12"/>
        <v>290052.88</v>
      </c>
    </row>
    <row r="244" spans="1:9" x14ac:dyDescent="0.25">
      <c r="A244" s="186"/>
      <c r="B244" s="61" t="s">
        <v>1196</v>
      </c>
      <c r="C244" s="220">
        <v>102181</v>
      </c>
      <c r="D244" s="69" t="s">
        <v>1</v>
      </c>
      <c r="E244" s="4" t="s">
        <v>1192</v>
      </c>
      <c r="F244" s="5" t="s">
        <v>37</v>
      </c>
      <c r="G244" s="65">
        <v>15</v>
      </c>
      <c r="H244" s="59">
        <v>555.01</v>
      </c>
      <c r="I244" s="206">
        <f t="shared" si="12"/>
        <v>8325.15</v>
      </c>
    </row>
    <row r="245" spans="1:9" x14ac:dyDescent="0.25">
      <c r="A245" s="186"/>
      <c r="B245" s="61" t="s">
        <v>1204</v>
      </c>
      <c r="C245" s="21" t="s">
        <v>49</v>
      </c>
      <c r="D245" s="38" t="s">
        <v>812</v>
      </c>
      <c r="E245" s="4" t="s">
        <v>1193</v>
      </c>
      <c r="F245" s="5" t="s">
        <v>37</v>
      </c>
      <c r="G245" s="65">
        <v>6500</v>
      </c>
      <c r="H245" s="59">
        <f>Composição!$I$1135</f>
        <v>1.0612000000000001</v>
      </c>
      <c r="I245" s="206">
        <f t="shared" si="12"/>
        <v>6897.8000000000011</v>
      </c>
    </row>
    <row r="246" spans="1:9" ht="5.25" customHeight="1" thickBot="1" x14ac:dyDescent="0.3">
      <c r="A246" s="197"/>
      <c r="B246" s="92"/>
      <c r="C246" s="101"/>
      <c r="D246" s="100"/>
      <c r="E246" s="94"/>
      <c r="F246" s="95"/>
      <c r="G246" s="96"/>
      <c r="H246" s="97"/>
      <c r="I246" s="113"/>
    </row>
    <row r="247" spans="1:9" s="37" customFormat="1" ht="14.25" customHeight="1" x14ac:dyDescent="0.25">
      <c r="B247" s="22"/>
      <c r="C247" s="23"/>
      <c r="D247" s="23"/>
      <c r="E247" s="23" t="s">
        <v>549</v>
      </c>
      <c r="F247" s="24"/>
      <c r="G247" s="72"/>
      <c r="H247" s="25"/>
      <c r="I247" s="26">
        <f>I8+I17+I29+I105+I142+I172+I177+I191+I197+I207+I217+I233</f>
        <v>2392575.3979501789</v>
      </c>
    </row>
    <row r="248" spans="1:9" s="37" customFormat="1" ht="14.25" customHeight="1" x14ac:dyDescent="0.25">
      <c r="B248" s="61"/>
      <c r="C248" s="62"/>
      <c r="D248" s="63"/>
      <c r="E248" s="63"/>
      <c r="F248" s="64"/>
      <c r="G248" s="71"/>
      <c r="H248" s="59"/>
      <c r="I248" s="70"/>
    </row>
    <row r="249" spans="1:9" s="37" customFormat="1" ht="14.25" customHeight="1" x14ac:dyDescent="0.25">
      <c r="B249" s="27"/>
      <c r="C249" s="28"/>
      <c r="D249" s="28"/>
      <c r="E249" s="28" t="s">
        <v>550</v>
      </c>
      <c r="F249" s="29"/>
      <c r="G249" s="73">
        <f>'Cálculo BDI'!$E$32</f>
        <v>0.24518700733222065</v>
      </c>
      <c r="H249" s="30"/>
      <c r="I249" s="31">
        <f>I247*G249</f>
        <v>586628.40164010122</v>
      </c>
    </row>
    <row r="250" spans="1:9" s="37" customFormat="1" ht="14.25" customHeight="1" x14ac:dyDescent="0.25">
      <c r="B250" s="61"/>
      <c r="C250" s="62"/>
      <c r="D250" s="63"/>
      <c r="E250" s="63"/>
      <c r="F250" s="64"/>
      <c r="G250" s="71"/>
      <c r="H250" s="59"/>
      <c r="I250" s="70"/>
    </row>
    <row r="251" spans="1:9" s="37" customFormat="1" ht="14.25" customHeight="1" thickBot="1" x14ac:dyDescent="0.3">
      <c r="B251" s="32"/>
      <c r="C251" s="33"/>
      <c r="D251" s="33"/>
      <c r="E251" s="33" t="s">
        <v>551</v>
      </c>
      <c r="F251" s="34"/>
      <c r="G251" s="74"/>
      <c r="H251" s="35"/>
      <c r="I251" s="36">
        <f>I247+I249</f>
        <v>2979203.7995902803</v>
      </c>
    </row>
    <row r="252" spans="1:9" ht="5.25" customHeight="1" x14ac:dyDescent="0.25">
      <c r="A252" s="197"/>
      <c r="B252" s="92"/>
      <c r="C252" s="101"/>
      <c r="D252" s="100"/>
      <c r="E252" s="94"/>
      <c r="F252" s="95"/>
      <c r="G252" s="96"/>
      <c r="H252" s="97"/>
      <c r="I252" s="113"/>
    </row>
    <row r="253" spans="1:9" x14ac:dyDescent="0.25">
      <c r="A253" s="186"/>
      <c r="B253" s="204">
        <v>13</v>
      </c>
      <c r="C253" s="182"/>
      <c r="D253" s="182"/>
      <c r="E253" s="182" t="s">
        <v>552</v>
      </c>
      <c r="F253" s="183"/>
      <c r="G253" s="184"/>
      <c r="H253" s="185"/>
      <c r="I253" s="205">
        <f>SUM(I254:I261)</f>
        <v>548686.93999999994</v>
      </c>
    </row>
    <row r="254" spans="1:9" x14ac:dyDescent="0.25">
      <c r="B254" s="105" t="s">
        <v>1187</v>
      </c>
      <c r="C254" s="106"/>
      <c r="D254" s="117"/>
      <c r="E254" s="107" t="s">
        <v>1214</v>
      </c>
      <c r="F254" s="108"/>
      <c r="G254" s="109"/>
      <c r="H254" s="121"/>
      <c r="I254" s="202"/>
    </row>
    <row r="255" spans="1:9" x14ac:dyDescent="0.25">
      <c r="B255" s="158" t="s">
        <v>1189</v>
      </c>
      <c r="C255" s="21" t="s">
        <v>49</v>
      </c>
      <c r="D255" s="38" t="s">
        <v>1238</v>
      </c>
      <c r="E255" s="100" t="s">
        <v>1237</v>
      </c>
      <c r="F255" s="103" t="s">
        <v>1231</v>
      </c>
      <c r="G255" s="96">
        <v>1</v>
      </c>
      <c r="H255" s="59">
        <v>227320.7</v>
      </c>
      <c r="I255" s="113">
        <f>G255*H255</f>
        <v>227320.7</v>
      </c>
    </row>
    <row r="256" spans="1:9" ht="14.25" customHeight="1" x14ac:dyDescent="0.25">
      <c r="B256" s="105" t="s">
        <v>1188</v>
      </c>
      <c r="C256" s="106"/>
      <c r="D256" s="117"/>
      <c r="E256" s="107" t="s">
        <v>452</v>
      </c>
      <c r="F256" s="108"/>
      <c r="G256" s="109"/>
      <c r="H256" s="121"/>
      <c r="I256" s="202"/>
    </row>
    <row r="257" spans="1:9" ht="26.4" x14ac:dyDescent="0.25">
      <c r="B257" s="221" t="s">
        <v>1190</v>
      </c>
      <c r="C257" s="125">
        <v>39561</v>
      </c>
      <c r="D257" s="100" t="s">
        <v>1</v>
      </c>
      <c r="E257" s="100" t="s">
        <v>1194</v>
      </c>
      <c r="F257" s="136" t="s">
        <v>472</v>
      </c>
      <c r="G257" s="96">
        <v>22</v>
      </c>
      <c r="H257" s="97">
        <v>12711.94</v>
      </c>
      <c r="I257" s="113">
        <f>G257*H257</f>
        <v>279662.68</v>
      </c>
    </row>
    <row r="258" spans="1:9" ht="14.25" customHeight="1" x14ac:dyDescent="0.25">
      <c r="B258" s="105" t="s">
        <v>1215</v>
      </c>
      <c r="C258" s="98"/>
      <c r="D258" s="99"/>
      <c r="E258" s="107" t="s">
        <v>453</v>
      </c>
      <c r="F258" s="108"/>
      <c r="G258" s="109"/>
      <c r="H258" s="138"/>
      <c r="I258" s="113"/>
    </row>
    <row r="259" spans="1:9" ht="28.5" customHeight="1" x14ac:dyDescent="0.25">
      <c r="B259" s="92" t="s">
        <v>1216</v>
      </c>
      <c r="C259" s="98"/>
      <c r="D259" s="99" t="s">
        <v>206</v>
      </c>
      <c r="E259" s="100" t="s">
        <v>1230</v>
      </c>
      <c r="F259" s="112" t="s">
        <v>7</v>
      </c>
      <c r="G259" s="96">
        <v>1</v>
      </c>
      <c r="H259" s="97">
        <v>9744.06</v>
      </c>
      <c r="I259" s="113">
        <f t="shared" ref="I259:I261" si="13">G259*H259</f>
        <v>9744.06</v>
      </c>
    </row>
    <row r="260" spans="1:9" x14ac:dyDescent="0.25">
      <c r="B260" s="92" t="s">
        <v>1217</v>
      </c>
      <c r="C260" s="98"/>
      <c r="D260" s="99" t="s">
        <v>206</v>
      </c>
      <c r="E260" s="100" t="s">
        <v>600</v>
      </c>
      <c r="F260" s="112" t="s">
        <v>7</v>
      </c>
      <c r="G260" s="96">
        <v>1</v>
      </c>
      <c r="H260" s="97">
        <v>9349.5</v>
      </c>
      <c r="I260" s="113">
        <f t="shared" si="13"/>
        <v>9349.5</v>
      </c>
    </row>
    <row r="261" spans="1:9" x14ac:dyDescent="0.25">
      <c r="B261" s="92" t="s">
        <v>1218</v>
      </c>
      <c r="C261" s="98"/>
      <c r="D261" s="99" t="s">
        <v>206</v>
      </c>
      <c r="E261" s="100" t="s">
        <v>601</v>
      </c>
      <c r="F261" s="112" t="s">
        <v>7</v>
      </c>
      <c r="G261" s="96">
        <v>1</v>
      </c>
      <c r="H261" s="97">
        <v>22610</v>
      </c>
      <c r="I261" s="113">
        <f t="shared" si="13"/>
        <v>22610</v>
      </c>
    </row>
    <row r="262" spans="1:9" ht="5.25" customHeight="1" thickBot="1" x14ac:dyDescent="0.3">
      <c r="A262" s="197"/>
      <c r="B262" s="92"/>
      <c r="C262" s="101"/>
      <c r="D262" s="100"/>
      <c r="E262" s="94"/>
      <c r="F262" s="95"/>
      <c r="G262" s="96"/>
      <c r="H262" s="97"/>
      <c r="I262" s="113"/>
    </row>
    <row r="263" spans="1:9" s="37" customFormat="1" ht="14.25" customHeight="1" x14ac:dyDescent="0.25">
      <c r="B263" s="22"/>
      <c r="C263" s="23"/>
      <c r="D263" s="23"/>
      <c r="E263" s="23" t="s">
        <v>555</v>
      </c>
      <c r="F263" s="24"/>
      <c r="G263" s="72"/>
      <c r="H263" s="25"/>
      <c r="I263" s="26">
        <f>I253</f>
        <v>548686.93999999994</v>
      </c>
    </row>
    <row r="264" spans="1:9" s="37" customFormat="1" ht="14.25" customHeight="1" x14ac:dyDescent="0.25">
      <c r="B264" s="61"/>
      <c r="C264" s="62"/>
      <c r="D264" s="63"/>
      <c r="E264" s="63"/>
      <c r="F264" s="64"/>
      <c r="G264" s="71"/>
      <c r="H264" s="59"/>
      <c r="I264" s="70"/>
    </row>
    <row r="265" spans="1:9" s="37" customFormat="1" ht="14.25" customHeight="1" x14ac:dyDescent="0.25">
      <c r="B265" s="27"/>
      <c r="C265" s="28"/>
      <c r="D265" s="28"/>
      <c r="E265" s="28" t="s">
        <v>550</v>
      </c>
      <c r="F265" s="29"/>
      <c r="G265" s="73">
        <f>'Cálculo BDI'!$E$61</f>
        <v>0.16023583385955353</v>
      </c>
      <c r="H265" s="30"/>
      <c r="I265" s="31">
        <f>I263*G265</f>
        <v>87919.309358746803</v>
      </c>
    </row>
    <row r="266" spans="1:9" s="37" customFormat="1" ht="14.25" customHeight="1" x14ac:dyDescent="0.25">
      <c r="B266" s="188"/>
      <c r="C266" s="189"/>
      <c r="D266" s="190"/>
      <c r="E266" s="190"/>
      <c r="F266" s="191"/>
      <c r="G266" s="192"/>
      <c r="H266" s="187"/>
      <c r="I266" s="70"/>
    </row>
    <row r="267" spans="1:9" s="37" customFormat="1" ht="14.25" customHeight="1" x14ac:dyDescent="0.25">
      <c r="B267" s="207"/>
      <c r="C267" s="193"/>
      <c r="D267" s="193"/>
      <c r="E267" s="193" t="s">
        <v>551</v>
      </c>
      <c r="F267" s="194"/>
      <c r="G267" s="195"/>
      <c r="H267" s="196"/>
      <c r="I267" s="208">
        <f>I263+I265</f>
        <v>636606.24935874669</v>
      </c>
    </row>
    <row r="268" spans="1:9" s="37" customFormat="1" ht="14.25" customHeight="1" x14ac:dyDescent="0.25">
      <c r="B268" s="188"/>
      <c r="C268" s="189"/>
      <c r="D268" s="190"/>
      <c r="E268" s="190"/>
      <c r="F268" s="191"/>
      <c r="G268" s="192"/>
      <c r="H268" s="187"/>
      <c r="I268" s="70"/>
    </row>
    <row r="269" spans="1:9" s="37" customFormat="1" ht="14.25" customHeight="1" thickBot="1" x14ac:dyDescent="0.3">
      <c r="B269" s="209"/>
      <c r="C269" s="210"/>
      <c r="D269" s="210"/>
      <c r="E269" s="210" t="s">
        <v>556</v>
      </c>
      <c r="F269" s="211"/>
      <c r="G269" s="212"/>
      <c r="H269" s="213"/>
      <c r="I269" s="214">
        <f>I251+I267</f>
        <v>3615810.048949027</v>
      </c>
    </row>
    <row r="275" spans="9:9" x14ac:dyDescent="0.25">
      <c r="I275" s="91"/>
    </row>
  </sheetData>
  <mergeCells count="4">
    <mergeCell ref="B5:E5"/>
    <mergeCell ref="G5:H5"/>
    <mergeCell ref="B6:E6"/>
    <mergeCell ref="B4:I4"/>
  </mergeCells>
  <phoneticPr fontId="15" type="noConversion"/>
  <hyperlinks>
    <hyperlink ref="C15" r:id="rId1" display="javascript:__doPostBack('ctl00$MainContent$gvServicos$ctl05$lnkBtnCodigo','')" xr:uid="{E55F0583-EADF-4457-A9BF-C7EB79C6078B}"/>
  </hyperlinks>
  <printOptions horizontalCentered="1"/>
  <pageMargins left="0.51181102362204722" right="0.51181102362204722" top="1.1811023622047245" bottom="0.98425196850393704" header="0.51181102362204722" footer="0.51181102362204722"/>
  <pageSetup paperSize="9" scale="61" fitToHeight="0" orientation="landscape" r:id="rId2"/>
  <headerFooter>
    <oddHeader>&amp;L&amp;G</oddHeader>
    <oddFooter>&amp;RSEÇÃO III - &amp;P/&amp;N</oddFooter>
  </headerFooter>
  <ignoredErrors>
    <ignoredError sqref="D245 D242 D255 D11 D32 D35 D40:D41 D44:D46 D51:D58 D63 D66:D68 D71 D82 D84 D88:D89 D91:D95 D97:D98 D100 D102:D103 D107 D110:D111 D120:D130 D132:D136 D140 D147 D151:D152 D161:D163 D165:D170 D173:D175 D179 D183 D185:D188 D192:D195 D200 D203:D205 D208:D211 D213:D214 D218:D229 D231 D234:D235 D239:D240" numberStoredAsText="1"/>
  </ignoredErrors>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R1728"/>
  <sheetViews>
    <sheetView zoomScale="115" zoomScaleNormal="115" workbookViewId="0">
      <selection activeCell="I1728" sqref="B3:I1728"/>
    </sheetView>
  </sheetViews>
  <sheetFormatPr defaultColWidth="9" defaultRowHeight="13.8" x14ac:dyDescent="0.25"/>
  <cols>
    <col min="1" max="1" width="9" style="69"/>
    <col min="2" max="2" width="7.19921875" style="146" customWidth="1"/>
    <col min="3" max="3" width="12.19921875" style="224" customWidth="1"/>
    <col min="4" max="4" width="74.09765625" style="90" customWidth="1"/>
    <col min="5" max="5" width="5.3984375" style="90" bestFit="1" customWidth="1"/>
    <col min="6" max="6" width="5.8984375" style="90" bestFit="1" customWidth="1"/>
    <col min="7" max="7" width="8.3984375" style="90" bestFit="1" customWidth="1"/>
    <col min="8" max="8" width="8" style="87" bestFit="1" customWidth="1"/>
    <col min="9" max="9" width="7.59765625" style="90" bestFit="1" customWidth="1"/>
    <col min="10" max="10" width="9" style="69"/>
    <col min="11" max="11" width="10.8984375" style="69" customWidth="1"/>
    <col min="12" max="12" width="19.09765625" style="69" customWidth="1"/>
    <col min="13" max="14" width="9" style="69"/>
    <col min="15" max="15" width="55.59765625" style="69" customWidth="1"/>
    <col min="16" max="16384" width="9" style="69"/>
  </cols>
  <sheetData>
    <row r="1" spans="2:12" x14ac:dyDescent="0.25">
      <c r="C1" s="222"/>
    </row>
    <row r="2" spans="2:12" ht="14.4" thickBot="1" x14ac:dyDescent="0.3">
      <c r="B2" s="166"/>
      <c r="C2" s="223"/>
      <c r="E2" s="75"/>
      <c r="F2" s="75"/>
      <c r="G2" s="85"/>
      <c r="H2" s="139"/>
      <c r="I2" s="140"/>
    </row>
    <row r="3" spans="2:12" s="90" customFormat="1" ht="10.8" thickBot="1" x14ac:dyDescent="0.3">
      <c r="B3" s="330" t="s">
        <v>18</v>
      </c>
      <c r="C3" s="330"/>
      <c r="D3" s="331" t="s">
        <v>19</v>
      </c>
      <c r="E3" s="331"/>
      <c r="F3" s="331"/>
      <c r="G3" s="331"/>
      <c r="H3" s="331"/>
      <c r="I3" s="83" t="s">
        <v>20</v>
      </c>
    </row>
    <row r="4" spans="2:12" s="90" customFormat="1" ht="10.8" thickBot="1" x14ac:dyDescent="0.3">
      <c r="B4" s="329" t="s">
        <v>48</v>
      </c>
      <c r="C4" s="329"/>
      <c r="D4" s="332" t="s">
        <v>32</v>
      </c>
      <c r="E4" s="332"/>
      <c r="F4" s="332"/>
      <c r="G4" s="332"/>
      <c r="H4" s="332"/>
      <c r="I4" s="1" t="s">
        <v>4</v>
      </c>
    </row>
    <row r="5" spans="2:12" s="90" customFormat="1" ht="10.8" thickBot="1" x14ac:dyDescent="0.3">
      <c r="B5" s="328" t="s">
        <v>27</v>
      </c>
      <c r="C5" s="328"/>
      <c r="D5" s="141"/>
      <c r="E5" s="82" t="s">
        <v>22</v>
      </c>
      <c r="F5" s="82" t="s">
        <v>23</v>
      </c>
      <c r="G5" s="88" t="s">
        <v>24</v>
      </c>
      <c r="H5" s="89" t="s">
        <v>25</v>
      </c>
      <c r="I5" s="226" t="s">
        <v>26</v>
      </c>
    </row>
    <row r="6" spans="2:12" s="90" customFormat="1" ht="30.6" x14ac:dyDescent="0.25">
      <c r="B6" s="156">
        <v>73467</v>
      </c>
      <c r="C6" s="151" t="s">
        <v>1</v>
      </c>
      <c r="D6" s="84" t="s">
        <v>5</v>
      </c>
      <c r="E6" s="75" t="s">
        <v>6</v>
      </c>
      <c r="F6" s="140">
        <f>2*4*6</f>
        <v>48</v>
      </c>
      <c r="G6" s="77">
        <v>1</v>
      </c>
      <c r="H6" s="139">
        <v>145.79</v>
      </c>
      <c r="I6" s="140">
        <f>F6*G6*H6</f>
        <v>6997.92</v>
      </c>
    </row>
    <row r="7" spans="2:12" s="90" customFormat="1" ht="31.2" thickBot="1" x14ac:dyDescent="0.3">
      <c r="B7" s="166">
        <v>91395</v>
      </c>
      <c r="C7" s="151" t="s">
        <v>1</v>
      </c>
      <c r="D7" s="84" t="s">
        <v>34</v>
      </c>
      <c r="E7" s="75" t="s">
        <v>35</v>
      </c>
      <c r="F7" s="140">
        <f>176-F6</f>
        <v>128</v>
      </c>
      <c r="G7" s="77">
        <v>1</v>
      </c>
      <c r="H7" s="139">
        <v>36.659999999999997</v>
      </c>
      <c r="I7" s="140">
        <f>F7*G7*H7</f>
        <v>4692.4799999999996</v>
      </c>
    </row>
    <row r="8" spans="2:12" s="90" customFormat="1" ht="10.8" thickBot="1" x14ac:dyDescent="0.3">
      <c r="B8" s="328" t="s">
        <v>29</v>
      </c>
      <c r="C8" s="328"/>
      <c r="D8" s="328"/>
      <c r="E8" s="328"/>
      <c r="F8" s="328"/>
      <c r="G8" s="328"/>
      <c r="H8" s="328"/>
      <c r="I8" s="142">
        <f>ROUND(SUM(I6:I7),2)</f>
        <v>11690.4</v>
      </c>
    </row>
    <row r="9" spans="2:12" s="90" customFormat="1" ht="10.199999999999999" x14ac:dyDescent="0.25">
      <c r="B9" s="166"/>
      <c r="C9" s="223" t="s">
        <v>30</v>
      </c>
      <c r="D9" s="90" t="s">
        <v>44</v>
      </c>
      <c r="E9" s="75"/>
      <c r="F9" s="75"/>
      <c r="G9" s="85"/>
      <c r="H9" s="139"/>
      <c r="I9" s="140"/>
      <c r="L9" s="85"/>
    </row>
    <row r="10" spans="2:12" s="90" customFormat="1" ht="10.199999999999999" x14ac:dyDescent="0.25">
      <c r="B10" s="166"/>
      <c r="C10" s="223"/>
      <c r="D10" s="90" t="s">
        <v>47</v>
      </c>
      <c r="E10" s="75"/>
      <c r="F10" s="75"/>
      <c r="G10" s="85"/>
      <c r="H10" s="139"/>
      <c r="I10" s="140"/>
    </row>
    <row r="11" spans="2:12" x14ac:dyDescent="0.25">
      <c r="C11" s="223"/>
      <c r="D11" s="90" t="s">
        <v>31</v>
      </c>
    </row>
    <row r="12" spans="2:12" x14ac:dyDescent="0.25">
      <c r="C12" s="223"/>
      <c r="D12" s="90" t="s">
        <v>45</v>
      </c>
    </row>
    <row r="13" spans="2:12" x14ac:dyDescent="0.25">
      <c r="C13" s="223"/>
      <c r="D13" s="90" t="s">
        <v>46</v>
      </c>
    </row>
    <row r="14" spans="2:12" x14ac:dyDescent="0.25">
      <c r="C14" s="223"/>
    </row>
    <row r="15" spans="2:12" ht="14.4" thickBot="1" x14ac:dyDescent="0.3">
      <c r="C15" s="223"/>
    </row>
    <row r="16" spans="2:12" ht="14.4" thickBot="1" x14ac:dyDescent="0.3">
      <c r="B16" s="330" t="s">
        <v>18</v>
      </c>
      <c r="C16" s="330"/>
      <c r="D16" s="331" t="s">
        <v>19</v>
      </c>
      <c r="E16" s="331"/>
      <c r="F16" s="331"/>
      <c r="G16" s="331"/>
      <c r="H16" s="331"/>
      <c r="I16" s="83" t="s">
        <v>20</v>
      </c>
    </row>
    <row r="17" spans="2:18" ht="14.4" thickBot="1" x14ac:dyDescent="0.3">
      <c r="B17" s="329" t="s">
        <v>52</v>
      </c>
      <c r="C17" s="329"/>
      <c r="D17" s="332" t="s">
        <v>829</v>
      </c>
      <c r="E17" s="332"/>
      <c r="F17" s="332"/>
      <c r="G17" s="332"/>
      <c r="H17" s="332"/>
      <c r="I17" s="1" t="s">
        <v>8</v>
      </c>
    </row>
    <row r="18" spans="2:18" ht="14.4" thickBot="1" x14ac:dyDescent="0.3">
      <c r="B18" s="328" t="s">
        <v>21</v>
      </c>
      <c r="C18" s="328"/>
      <c r="D18" s="141"/>
      <c r="E18" s="82" t="s">
        <v>22</v>
      </c>
      <c r="F18" s="82" t="s">
        <v>23</v>
      </c>
      <c r="G18" s="88" t="s">
        <v>24</v>
      </c>
      <c r="H18" s="89" t="s">
        <v>25</v>
      </c>
      <c r="I18" s="82" t="s">
        <v>26</v>
      </c>
      <c r="M18" s="143"/>
      <c r="R18" s="69" t="s">
        <v>61</v>
      </c>
    </row>
    <row r="19" spans="2:18" x14ac:dyDescent="0.25">
      <c r="B19" s="156">
        <v>39328</v>
      </c>
      <c r="C19" s="151" t="s">
        <v>1</v>
      </c>
      <c r="D19" s="84" t="s">
        <v>830</v>
      </c>
      <c r="E19" s="75" t="s">
        <v>8</v>
      </c>
      <c r="F19" s="140">
        <v>1</v>
      </c>
      <c r="G19" s="77">
        <v>1.2</v>
      </c>
      <c r="H19" s="139">
        <v>7.17</v>
      </c>
      <c r="I19" s="140">
        <f t="shared" ref="I19:I22" si="0">F19*G19*H19</f>
        <v>8.6039999999999992</v>
      </c>
    </row>
    <row r="20" spans="2:18" x14ac:dyDescent="0.25">
      <c r="B20" s="156">
        <v>7551</v>
      </c>
      <c r="C20" s="151" t="s">
        <v>9</v>
      </c>
      <c r="D20" s="84" t="s">
        <v>835</v>
      </c>
      <c r="E20" s="75" t="s">
        <v>8</v>
      </c>
      <c r="F20" s="140">
        <v>1</v>
      </c>
      <c r="G20" s="77">
        <v>0.5</v>
      </c>
      <c r="H20" s="139">
        <v>5.7</v>
      </c>
      <c r="I20" s="140">
        <f t="shared" si="0"/>
        <v>2.85</v>
      </c>
      <c r="L20" s="144"/>
    </row>
    <row r="21" spans="2:18" x14ac:dyDescent="0.25">
      <c r="B21" s="154">
        <v>834</v>
      </c>
      <c r="C21" s="151" t="s">
        <v>9</v>
      </c>
      <c r="D21" s="84" t="s">
        <v>836</v>
      </c>
      <c r="E21" s="75" t="s">
        <v>472</v>
      </c>
      <c r="F21" s="140">
        <v>1</v>
      </c>
      <c r="G21" s="77">
        <v>2</v>
      </c>
      <c r="H21" s="139">
        <v>0.05</v>
      </c>
      <c r="I21" s="140">
        <f t="shared" si="0"/>
        <v>0.1</v>
      </c>
      <c r="L21" s="144"/>
    </row>
    <row r="22" spans="2:18" ht="14.4" thickBot="1" x14ac:dyDescent="0.3">
      <c r="B22" s="156">
        <v>39997</v>
      </c>
      <c r="C22" s="151" t="s">
        <v>1</v>
      </c>
      <c r="D22" s="84" t="s">
        <v>605</v>
      </c>
      <c r="E22" s="75" t="s">
        <v>472</v>
      </c>
      <c r="F22" s="140">
        <v>1</v>
      </c>
      <c r="G22" s="77">
        <v>2</v>
      </c>
      <c r="H22" s="139">
        <v>0.34</v>
      </c>
      <c r="I22" s="140">
        <f t="shared" si="0"/>
        <v>0.68</v>
      </c>
    </row>
    <row r="23" spans="2:18" ht="14.4" thickBot="1" x14ac:dyDescent="0.3">
      <c r="B23" s="328" t="s">
        <v>28</v>
      </c>
      <c r="C23" s="328"/>
      <c r="D23" s="141"/>
      <c r="E23" s="82" t="s">
        <v>22</v>
      </c>
      <c r="F23" s="82" t="s">
        <v>23</v>
      </c>
      <c r="G23" s="88" t="s">
        <v>24</v>
      </c>
      <c r="H23" s="89" t="s">
        <v>25</v>
      </c>
      <c r="I23" s="82" t="s">
        <v>26</v>
      </c>
    </row>
    <row r="24" spans="2:18" x14ac:dyDescent="0.25">
      <c r="B24" s="156">
        <v>88264</v>
      </c>
      <c r="C24" s="151" t="s">
        <v>1</v>
      </c>
      <c r="D24" s="84" t="s">
        <v>3</v>
      </c>
      <c r="E24" s="75" t="s">
        <v>2</v>
      </c>
      <c r="F24" s="140">
        <v>1</v>
      </c>
      <c r="G24" s="77">
        <v>0.8</v>
      </c>
      <c r="H24" s="139">
        <v>19.53</v>
      </c>
      <c r="I24" s="140">
        <f t="shared" ref="I24:I25" si="1">F24*G24*H24</f>
        <v>15.624000000000002</v>
      </c>
    </row>
    <row r="25" spans="2:18" ht="14.4" thickBot="1" x14ac:dyDescent="0.3">
      <c r="B25" s="156">
        <v>88247</v>
      </c>
      <c r="C25" s="151" t="s">
        <v>1</v>
      </c>
      <c r="D25" s="84" t="s">
        <v>719</v>
      </c>
      <c r="E25" s="75" t="s">
        <v>2</v>
      </c>
      <c r="F25" s="140">
        <v>1</v>
      </c>
      <c r="G25" s="77">
        <v>0.8</v>
      </c>
      <c r="H25" s="139">
        <v>15.19</v>
      </c>
      <c r="I25" s="140">
        <f t="shared" si="1"/>
        <v>12.152000000000001</v>
      </c>
    </row>
    <row r="26" spans="2:18" ht="14.4" thickBot="1" x14ac:dyDescent="0.3">
      <c r="B26" s="328" t="s">
        <v>29</v>
      </c>
      <c r="C26" s="328"/>
      <c r="D26" s="328"/>
      <c r="E26" s="328"/>
      <c r="F26" s="328"/>
      <c r="G26" s="328"/>
      <c r="H26" s="328"/>
      <c r="I26" s="142">
        <f>SUM(I19:I25)</f>
        <v>40.010000000000005</v>
      </c>
    </row>
    <row r="27" spans="2:18" s="90" customFormat="1" ht="10.199999999999999" x14ac:dyDescent="0.25">
      <c r="B27" s="166"/>
      <c r="C27" s="223" t="s">
        <v>30</v>
      </c>
      <c r="D27" s="90" t="s">
        <v>834</v>
      </c>
      <c r="E27" s="75"/>
      <c r="F27" s="75"/>
      <c r="G27" s="85"/>
      <c r="H27" s="139"/>
      <c r="I27" s="140"/>
      <c r="L27" s="85"/>
    </row>
    <row r="28" spans="2:18" x14ac:dyDescent="0.25">
      <c r="B28" s="166"/>
      <c r="C28" s="223"/>
      <c r="E28" s="75"/>
      <c r="F28" s="75"/>
      <c r="G28" s="85"/>
      <c r="H28" s="139"/>
      <c r="I28" s="140"/>
    </row>
    <row r="29" spans="2:18" ht="14.4" thickBot="1" x14ac:dyDescent="0.3">
      <c r="C29" s="223"/>
    </row>
    <row r="30" spans="2:18" ht="14.4" thickBot="1" x14ac:dyDescent="0.3">
      <c r="B30" s="330" t="s">
        <v>18</v>
      </c>
      <c r="C30" s="330"/>
      <c r="D30" s="331" t="s">
        <v>19</v>
      </c>
      <c r="E30" s="331"/>
      <c r="F30" s="331"/>
      <c r="G30" s="331"/>
      <c r="H30" s="331"/>
      <c r="I30" s="83" t="s">
        <v>20</v>
      </c>
    </row>
    <row r="31" spans="2:18" ht="14.4" thickBot="1" x14ac:dyDescent="0.3">
      <c r="B31" s="329" t="s">
        <v>64</v>
      </c>
      <c r="C31" s="329"/>
      <c r="D31" s="332" t="s">
        <v>892</v>
      </c>
      <c r="E31" s="332"/>
      <c r="F31" s="332"/>
      <c r="G31" s="332"/>
      <c r="H31" s="332"/>
      <c r="I31" s="293" t="s">
        <v>8</v>
      </c>
      <c r="R31" s="69" t="s">
        <v>60</v>
      </c>
    </row>
    <row r="32" spans="2:18" ht="14.4" thickBot="1" x14ac:dyDescent="0.3">
      <c r="B32" s="328" t="s">
        <v>21</v>
      </c>
      <c r="C32" s="328"/>
      <c r="D32" s="141"/>
      <c r="E32" s="82" t="s">
        <v>22</v>
      </c>
      <c r="F32" s="82" t="s">
        <v>23</v>
      </c>
      <c r="G32" s="88" t="s">
        <v>24</v>
      </c>
      <c r="H32" s="89" t="s">
        <v>25</v>
      </c>
      <c r="I32" s="82" t="s">
        <v>26</v>
      </c>
      <c r="M32" s="143"/>
      <c r="R32" s="69" t="s">
        <v>61</v>
      </c>
    </row>
    <row r="33" spans="2:18" x14ac:dyDescent="0.25">
      <c r="B33" s="156">
        <v>370</v>
      </c>
      <c r="C33" s="151" t="s">
        <v>1</v>
      </c>
      <c r="D33" s="84" t="s">
        <v>79</v>
      </c>
      <c r="E33" s="75" t="s">
        <v>80</v>
      </c>
      <c r="F33" s="140">
        <v>0.435</v>
      </c>
      <c r="G33" s="77">
        <v>1.958E-2</v>
      </c>
      <c r="H33" s="139">
        <v>83.5</v>
      </c>
      <c r="I33" s="140">
        <f>G33*H33</f>
        <v>1.63493</v>
      </c>
    </row>
    <row r="34" spans="2:18" x14ac:dyDescent="0.25">
      <c r="B34" s="156">
        <v>1379</v>
      </c>
      <c r="C34" s="151" t="s">
        <v>1</v>
      </c>
      <c r="D34" s="84" t="s">
        <v>81</v>
      </c>
      <c r="E34" s="75" t="s">
        <v>82</v>
      </c>
      <c r="F34" s="140">
        <v>246</v>
      </c>
      <c r="G34" s="77">
        <v>11.07</v>
      </c>
      <c r="H34" s="139">
        <v>0.72</v>
      </c>
      <c r="I34" s="140">
        <f>G34*H34</f>
        <v>7.9703999999999997</v>
      </c>
    </row>
    <row r="35" spans="2:18" x14ac:dyDescent="0.25">
      <c r="B35" s="156">
        <v>4721</v>
      </c>
      <c r="C35" s="151" t="s">
        <v>1</v>
      </c>
      <c r="D35" s="84" t="s">
        <v>83</v>
      </c>
      <c r="E35" s="75" t="s">
        <v>80</v>
      </c>
      <c r="F35" s="140">
        <v>0.435</v>
      </c>
      <c r="G35" s="77">
        <v>1.958E-2</v>
      </c>
      <c r="H35" s="139">
        <v>84.4</v>
      </c>
      <c r="I35" s="140">
        <f>G35*H35</f>
        <v>1.652552</v>
      </c>
    </row>
    <row r="36" spans="2:18" x14ac:dyDescent="0.25">
      <c r="B36" s="156">
        <v>4718</v>
      </c>
      <c r="C36" s="151" t="s">
        <v>1</v>
      </c>
      <c r="D36" s="84" t="s">
        <v>84</v>
      </c>
      <c r="E36" s="75" t="s">
        <v>80</v>
      </c>
      <c r="F36" s="140">
        <v>0.435</v>
      </c>
      <c r="G36" s="77">
        <v>1.958E-2</v>
      </c>
      <c r="H36" s="139">
        <v>84.85</v>
      </c>
      <c r="I36" s="140">
        <f>G36*H36</f>
        <v>1.6613629999999999</v>
      </c>
    </row>
    <row r="37" spans="2:18" ht="14.4" thickBot="1" x14ac:dyDescent="0.3">
      <c r="B37" s="156">
        <v>11201</v>
      </c>
      <c r="C37" s="151" t="s">
        <v>9</v>
      </c>
      <c r="D37" s="84" t="s">
        <v>116</v>
      </c>
      <c r="E37" s="75" t="s">
        <v>8</v>
      </c>
      <c r="F37" s="140">
        <v>1</v>
      </c>
      <c r="G37" s="77">
        <v>1</v>
      </c>
      <c r="H37" s="139">
        <v>1.43</v>
      </c>
      <c r="I37" s="140">
        <f>G37*H37</f>
        <v>1.43</v>
      </c>
    </row>
    <row r="38" spans="2:18" ht="14.4" thickBot="1" x14ac:dyDescent="0.3">
      <c r="B38" s="328" t="s">
        <v>27</v>
      </c>
      <c r="C38" s="328"/>
      <c r="D38" s="141"/>
      <c r="E38" s="82" t="s">
        <v>22</v>
      </c>
      <c r="F38" s="82" t="s">
        <v>23</v>
      </c>
      <c r="G38" s="88" t="s">
        <v>24</v>
      </c>
      <c r="H38" s="89" t="s">
        <v>25</v>
      </c>
      <c r="I38" s="82" t="s">
        <v>26</v>
      </c>
    </row>
    <row r="39" spans="2:18" ht="30.6" x14ac:dyDescent="0.25">
      <c r="B39" s="166">
        <v>90105</v>
      </c>
      <c r="C39" s="151" t="s">
        <v>1</v>
      </c>
      <c r="D39" s="84" t="s">
        <v>276</v>
      </c>
      <c r="E39" s="75" t="s">
        <v>80</v>
      </c>
      <c r="F39" s="140">
        <v>1</v>
      </c>
      <c r="G39" s="77">
        <f>1*0.6*0.6</f>
        <v>0.36</v>
      </c>
      <c r="H39" s="139">
        <v>6.38</v>
      </c>
      <c r="I39" s="140">
        <f>F39*G39*H39</f>
        <v>2.2967999999999997</v>
      </c>
      <c r="K39" s="140"/>
    </row>
    <row r="40" spans="2:18" ht="30.6" x14ac:dyDescent="0.25">
      <c r="B40" s="166">
        <v>93378</v>
      </c>
      <c r="C40" s="151" t="s">
        <v>1</v>
      </c>
      <c r="D40" s="84" t="s">
        <v>278</v>
      </c>
      <c r="E40" s="75" t="s">
        <v>80</v>
      </c>
      <c r="F40" s="140">
        <v>1</v>
      </c>
      <c r="G40" s="77">
        <f>0.45*0.6*1</f>
        <v>0.27</v>
      </c>
      <c r="H40" s="139">
        <v>16.96</v>
      </c>
      <c r="I40" s="140">
        <f>F40*G40*H40</f>
        <v>4.5792000000000002</v>
      </c>
      <c r="K40" s="140"/>
    </row>
    <row r="41" spans="2:18" ht="21" thickBot="1" x14ac:dyDescent="0.3">
      <c r="B41" s="156">
        <v>88830</v>
      </c>
      <c r="C41" s="151" t="s">
        <v>1</v>
      </c>
      <c r="D41" s="84" t="s">
        <v>86</v>
      </c>
      <c r="E41" s="75" t="s">
        <v>85</v>
      </c>
      <c r="F41" s="140">
        <v>1</v>
      </c>
      <c r="G41" s="77">
        <v>4.4600000000000001E-2</v>
      </c>
      <c r="H41" s="139">
        <v>1.87</v>
      </c>
      <c r="I41" s="140">
        <f>F41*G41*H41</f>
        <v>8.3402000000000004E-2</v>
      </c>
      <c r="K41" s="140"/>
    </row>
    <row r="42" spans="2:18" ht="14.4" thickBot="1" x14ac:dyDescent="0.3">
      <c r="B42" s="328" t="s">
        <v>28</v>
      </c>
      <c r="C42" s="328"/>
      <c r="D42" s="141"/>
      <c r="E42" s="82" t="s">
        <v>22</v>
      </c>
      <c r="F42" s="82" t="s">
        <v>23</v>
      </c>
      <c r="G42" s="88" t="s">
        <v>24</v>
      </c>
      <c r="H42" s="89" t="s">
        <v>25</v>
      </c>
      <c r="I42" s="82" t="s">
        <v>26</v>
      </c>
      <c r="K42" s="140"/>
    </row>
    <row r="43" spans="2:18" x14ac:dyDescent="0.25">
      <c r="B43" s="166">
        <v>88309</v>
      </c>
      <c r="C43" s="151" t="s">
        <v>1</v>
      </c>
      <c r="D43" s="84" t="s">
        <v>87</v>
      </c>
      <c r="E43" s="75" t="s">
        <v>2</v>
      </c>
      <c r="F43" s="140">
        <v>1</v>
      </c>
      <c r="G43" s="77">
        <v>0.125</v>
      </c>
      <c r="H43" s="139">
        <v>18.86</v>
      </c>
      <c r="I43" s="140">
        <f>F43*G43*H43</f>
        <v>2.3574999999999999</v>
      </c>
    </row>
    <row r="44" spans="2:18" ht="14.4" thickBot="1" x14ac:dyDescent="0.3">
      <c r="B44" s="166">
        <v>88316</v>
      </c>
      <c r="C44" s="151" t="s">
        <v>1</v>
      </c>
      <c r="D44" s="84" t="s">
        <v>43</v>
      </c>
      <c r="E44" s="75" t="s">
        <v>2</v>
      </c>
      <c r="F44" s="140">
        <v>1</v>
      </c>
      <c r="G44" s="77">
        <v>1.7968999999999999</v>
      </c>
      <c r="H44" s="139">
        <v>15.16</v>
      </c>
      <c r="I44" s="140">
        <f>F44*G44*H44</f>
        <v>27.241004</v>
      </c>
      <c r="K44" s="140"/>
    </row>
    <row r="45" spans="2:18" ht="14.4" thickBot="1" x14ac:dyDescent="0.3">
      <c r="B45" s="328" t="s">
        <v>29</v>
      </c>
      <c r="C45" s="328"/>
      <c r="D45" s="328"/>
      <c r="E45" s="328"/>
      <c r="F45" s="328"/>
      <c r="G45" s="328"/>
      <c r="H45" s="328"/>
      <c r="I45" s="142">
        <f>SUM(I33:I44)</f>
        <v>50.907150999999999</v>
      </c>
      <c r="R45" s="69" t="s">
        <v>62</v>
      </c>
    </row>
    <row r="46" spans="2:18" s="90" customFormat="1" ht="10.199999999999999" x14ac:dyDescent="0.25">
      <c r="B46" s="166"/>
      <c r="C46" s="223" t="s">
        <v>30</v>
      </c>
      <c r="D46" s="90" t="s">
        <v>88</v>
      </c>
      <c r="E46" s="75"/>
      <c r="F46" s="75"/>
      <c r="G46" s="85"/>
      <c r="H46" s="139"/>
      <c r="I46" s="140"/>
      <c r="L46" s="85"/>
      <c r="R46" s="90" t="s">
        <v>63</v>
      </c>
    </row>
    <row r="47" spans="2:18" s="90" customFormat="1" ht="10.199999999999999" x14ac:dyDescent="0.25">
      <c r="B47" s="166"/>
      <c r="C47" s="223"/>
      <c r="E47" s="75"/>
      <c r="F47" s="75"/>
      <c r="G47" s="85"/>
      <c r="H47" s="139"/>
      <c r="I47" s="140"/>
      <c r="L47" s="85"/>
    </row>
    <row r="48" spans="2:18" s="90" customFormat="1" ht="10.8" thickBot="1" x14ac:dyDescent="0.3">
      <c r="B48" s="166"/>
      <c r="C48" s="223"/>
      <c r="E48" s="75"/>
      <c r="F48" s="75"/>
      <c r="G48" s="85"/>
      <c r="H48" s="139"/>
      <c r="I48" s="140"/>
      <c r="L48" s="85"/>
    </row>
    <row r="49" spans="2:11" ht="14.4" thickBot="1" x14ac:dyDescent="0.3">
      <c r="B49" s="337" t="s">
        <v>18</v>
      </c>
      <c r="C49" s="337"/>
      <c r="D49" s="331" t="s">
        <v>19</v>
      </c>
      <c r="E49" s="331"/>
      <c r="F49" s="331"/>
      <c r="G49" s="331"/>
      <c r="H49" s="331"/>
      <c r="I49" s="83" t="s">
        <v>20</v>
      </c>
    </row>
    <row r="50" spans="2:11" ht="14.4" thickBot="1" x14ac:dyDescent="0.3">
      <c r="B50" s="329" t="s">
        <v>74</v>
      </c>
      <c r="C50" s="329"/>
      <c r="D50" s="332" t="s">
        <v>838</v>
      </c>
      <c r="E50" s="332"/>
      <c r="F50" s="332"/>
      <c r="G50" s="332"/>
      <c r="H50" s="332"/>
      <c r="I50" s="292" t="s">
        <v>472</v>
      </c>
    </row>
    <row r="51" spans="2:11" ht="14.4" thickBot="1" x14ac:dyDescent="0.3">
      <c r="B51" s="328" t="s">
        <v>21</v>
      </c>
      <c r="C51" s="328"/>
      <c r="D51" s="141"/>
      <c r="E51" s="226" t="s">
        <v>22</v>
      </c>
      <c r="F51" s="226" t="s">
        <v>23</v>
      </c>
      <c r="G51" s="88" t="s">
        <v>24</v>
      </c>
      <c r="H51" s="89" t="s">
        <v>25</v>
      </c>
      <c r="I51" s="226" t="s">
        <v>26</v>
      </c>
    </row>
    <row r="52" spans="2:11" x14ac:dyDescent="0.25">
      <c r="B52" s="154">
        <v>650</v>
      </c>
      <c r="C52" s="151" t="s">
        <v>1</v>
      </c>
      <c r="D52" s="84" t="s">
        <v>841</v>
      </c>
      <c r="E52" s="75" t="s">
        <v>22</v>
      </c>
      <c r="F52" s="140">
        <f>2.76*0.8</f>
        <v>2.2079999999999997</v>
      </c>
      <c r="G52" s="77">
        <v>12.5</v>
      </c>
      <c r="H52" s="139">
        <v>2.7</v>
      </c>
      <c r="I52" s="140">
        <f t="shared" ref="I52:I53" si="2">F52*G52*H52</f>
        <v>74.52</v>
      </c>
    </row>
    <row r="53" spans="2:11" ht="14.4" thickBot="1" x14ac:dyDescent="0.3">
      <c r="B53" s="154"/>
      <c r="C53" s="151" t="s">
        <v>206</v>
      </c>
      <c r="D53" s="84" t="s">
        <v>852</v>
      </c>
      <c r="E53" s="75" t="s">
        <v>22</v>
      </c>
      <c r="F53" s="140">
        <v>1</v>
      </c>
      <c r="G53" s="77">
        <v>1</v>
      </c>
      <c r="H53" s="139">
        <v>447.75</v>
      </c>
      <c r="I53" s="140">
        <f t="shared" si="2"/>
        <v>447.75</v>
      </c>
    </row>
    <row r="54" spans="2:11" ht="14.4" thickBot="1" x14ac:dyDescent="0.3">
      <c r="B54" s="328" t="s">
        <v>27</v>
      </c>
      <c r="C54" s="328"/>
      <c r="D54" s="141"/>
      <c r="E54" s="226" t="s">
        <v>22</v>
      </c>
      <c r="F54" s="226" t="s">
        <v>23</v>
      </c>
      <c r="G54" s="88" t="s">
        <v>24</v>
      </c>
      <c r="H54" s="89" t="s">
        <v>25</v>
      </c>
      <c r="I54" s="226" t="s">
        <v>26</v>
      </c>
    </row>
    <row r="55" spans="2:11" x14ac:dyDescent="0.25">
      <c r="B55" s="154">
        <v>93358</v>
      </c>
      <c r="C55" s="151" t="s">
        <v>1</v>
      </c>
      <c r="D55" s="84" t="s">
        <v>839</v>
      </c>
      <c r="E55" s="75" t="s">
        <v>80</v>
      </c>
      <c r="F55" s="140">
        <v>1</v>
      </c>
      <c r="G55" s="77">
        <f>1.1664*(0.8+0.08+0.1)</f>
        <v>1.1430720000000001</v>
      </c>
      <c r="H55" s="139">
        <v>59.97</v>
      </c>
      <c r="I55" s="140">
        <f t="shared" ref="I55:I58" si="3">F55*G55*H55</f>
        <v>68.550027839999998</v>
      </c>
    </row>
    <row r="56" spans="2:11" x14ac:dyDescent="0.25">
      <c r="B56" s="154">
        <v>96995</v>
      </c>
      <c r="C56" s="151" t="s">
        <v>1</v>
      </c>
      <c r="D56" s="84" t="s">
        <v>845</v>
      </c>
      <c r="E56" s="75" t="s">
        <v>80</v>
      </c>
      <c r="F56" s="140">
        <v>1</v>
      </c>
      <c r="G56" s="77">
        <f>(1.1664-0.6084)*0.8</f>
        <v>0.44640000000000007</v>
      </c>
      <c r="H56" s="139">
        <v>36.36</v>
      </c>
      <c r="I56" s="140">
        <f t="shared" si="3"/>
        <v>16.231104000000002</v>
      </c>
    </row>
    <row r="57" spans="2:11" ht="20.399999999999999" x14ac:dyDescent="0.25">
      <c r="B57" s="154">
        <v>87292</v>
      </c>
      <c r="C57" s="151" t="s">
        <v>1</v>
      </c>
      <c r="D57" s="84" t="s">
        <v>842</v>
      </c>
      <c r="E57" s="75" t="s">
        <v>80</v>
      </c>
      <c r="F57" s="140">
        <f>F52</f>
        <v>2.2079999999999997</v>
      </c>
      <c r="G57" s="77">
        <v>1.2419999999999999E-2</v>
      </c>
      <c r="H57" s="139">
        <v>450.77</v>
      </c>
      <c r="I57" s="140">
        <f t="shared" si="3"/>
        <v>12.361627987199997</v>
      </c>
    </row>
    <row r="58" spans="2:11" x14ac:dyDescent="0.25">
      <c r="B58" s="154">
        <v>96620</v>
      </c>
      <c r="C58" s="151" t="s">
        <v>1</v>
      </c>
      <c r="D58" s="84" t="s">
        <v>840</v>
      </c>
      <c r="E58" s="75" t="s">
        <v>80</v>
      </c>
      <c r="F58" s="140">
        <v>1</v>
      </c>
      <c r="G58" s="77">
        <f>0.6084*0.08</f>
        <v>4.8672000000000007E-2</v>
      </c>
      <c r="H58" s="139">
        <v>494.63</v>
      </c>
      <c r="I58" s="140">
        <f t="shared" si="3"/>
        <v>24.074631360000001</v>
      </c>
    </row>
    <row r="59" spans="2:11" ht="20.399999999999999" x14ac:dyDescent="0.25">
      <c r="B59" s="156">
        <v>97735</v>
      </c>
      <c r="C59" s="151" t="s">
        <v>1</v>
      </c>
      <c r="D59" s="84" t="s">
        <v>843</v>
      </c>
      <c r="E59" s="75" t="s">
        <v>80</v>
      </c>
      <c r="F59" s="140">
        <v>1</v>
      </c>
      <c r="G59" s="77">
        <f>0.6084*0.07</f>
        <v>4.2588000000000008E-2</v>
      </c>
      <c r="H59" s="139">
        <v>2026.58</v>
      </c>
      <c r="I59" s="140">
        <f>F59*G59*H59</f>
        <v>86.30798904000001</v>
      </c>
    </row>
    <row r="60" spans="2:11" ht="20.399999999999999" x14ac:dyDescent="0.25">
      <c r="B60" s="156">
        <v>88628</v>
      </c>
      <c r="C60" s="151" t="s">
        <v>1</v>
      </c>
      <c r="D60" s="84" t="s">
        <v>847</v>
      </c>
      <c r="E60" s="75" t="s">
        <v>80</v>
      </c>
      <c r="F60" s="140">
        <v>1</v>
      </c>
      <c r="G60" s="77">
        <v>5.7500000000000002E-2</v>
      </c>
      <c r="H60" s="139">
        <v>486.93</v>
      </c>
      <c r="I60" s="140">
        <f>F60*G60*H60</f>
        <v>27.998475000000003</v>
      </c>
    </row>
    <row r="61" spans="2:11" ht="21" thickBot="1" x14ac:dyDescent="0.3">
      <c r="B61" s="156">
        <v>101623</v>
      </c>
      <c r="C61" s="151" t="s">
        <v>1</v>
      </c>
      <c r="D61" s="84" t="s">
        <v>846</v>
      </c>
      <c r="E61" s="75" t="s">
        <v>80</v>
      </c>
      <c r="F61" s="140">
        <v>1</v>
      </c>
      <c r="G61" s="77">
        <f>F52*0.1</f>
        <v>0.2208</v>
      </c>
      <c r="H61" s="139">
        <v>188.56</v>
      </c>
      <c r="I61" s="140">
        <f>F61*G61*H61</f>
        <v>41.634048</v>
      </c>
    </row>
    <row r="62" spans="2:11" ht="14.4" thickBot="1" x14ac:dyDescent="0.3">
      <c r="B62" s="335" t="s">
        <v>28</v>
      </c>
      <c r="C62" s="335"/>
      <c r="D62" s="141"/>
      <c r="E62" s="82" t="s">
        <v>22</v>
      </c>
      <c r="F62" s="82" t="s">
        <v>23</v>
      </c>
      <c r="G62" s="88" t="s">
        <v>24</v>
      </c>
      <c r="H62" s="89" t="s">
        <v>25</v>
      </c>
      <c r="I62" s="226" t="s">
        <v>26</v>
      </c>
      <c r="K62" s="140"/>
    </row>
    <row r="63" spans="2:11" x14ac:dyDescent="0.25">
      <c r="B63" s="154">
        <v>88309</v>
      </c>
      <c r="C63" s="151" t="s">
        <v>1</v>
      </c>
      <c r="D63" s="84" t="s">
        <v>87</v>
      </c>
      <c r="E63" s="75" t="s">
        <v>2</v>
      </c>
      <c r="F63" s="140">
        <v>1</v>
      </c>
      <c r="G63" s="77">
        <v>3.5310000000000001</v>
      </c>
      <c r="H63" s="139">
        <v>18.86</v>
      </c>
      <c r="I63" s="140">
        <f t="shared" ref="I63:I64" si="4">F63*G63*H63</f>
        <v>66.594660000000005</v>
      </c>
    </row>
    <row r="64" spans="2:11" ht="14.4" thickBot="1" x14ac:dyDescent="0.3">
      <c r="B64" s="156">
        <v>88316</v>
      </c>
      <c r="C64" s="151" t="s">
        <v>1</v>
      </c>
      <c r="D64" s="84" t="s">
        <v>651</v>
      </c>
      <c r="E64" s="75" t="s">
        <v>2</v>
      </c>
      <c r="F64" s="140">
        <v>1</v>
      </c>
      <c r="G64" s="77">
        <v>3.5310000000000001</v>
      </c>
      <c r="H64" s="139">
        <v>15.16</v>
      </c>
      <c r="I64" s="140">
        <f t="shared" si="4"/>
        <v>53.529960000000003</v>
      </c>
    </row>
    <row r="65" spans="2:12" ht="14.4" thickBot="1" x14ac:dyDescent="0.3">
      <c r="B65" s="328" t="s">
        <v>29</v>
      </c>
      <c r="C65" s="328"/>
      <c r="D65" s="328"/>
      <c r="E65" s="328"/>
      <c r="F65" s="328"/>
      <c r="G65" s="328"/>
      <c r="H65" s="328"/>
      <c r="I65" s="142">
        <f>SUM(I52:I64)</f>
        <v>919.55252322719991</v>
      </c>
    </row>
    <row r="66" spans="2:12" s="90" customFormat="1" ht="10.199999999999999" x14ac:dyDescent="0.25">
      <c r="B66" s="166"/>
      <c r="C66" s="223" t="s">
        <v>30</v>
      </c>
      <c r="D66" s="90" t="s">
        <v>844</v>
      </c>
      <c r="E66" s="75"/>
      <c r="F66" s="75"/>
      <c r="G66" s="85"/>
      <c r="H66" s="139"/>
      <c r="I66" s="295"/>
      <c r="L66" s="85"/>
    </row>
    <row r="67" spans="2:12" s="90" customFormat="1" ht="10.199999999999999" x14ac:dyDescent="0.25">
      <c r="B67" s="166"/>
      <c r="C67" s="223"/>
      <c r="E67" s="75"/>
      <c r="F67" s="75"/>
      <c r="G67" s="85"/>
      <c r="H67" s="139"/>
      <c r="I67" s="295"/>
      <c r="L67" s="85"/>
    </row>
    <row r="68" spans="2:12" s="90" customFormat="1" ht="10.8" thickBot="1" x14ac:dyDescent="0.3">
      <c r="B68" s="166"/>
      <c r="C68" s="223"/>
      <c r="E68" s="75"/>
      <c r="F68" s="75"/>
      <c r="G68" s="85"/>
      <c r="H68" s="139"/>
      <c r="I68" s="295"/>
      <c r="L68" s="85"/>
    </row>
    <row r="69" spans="2:12" ht="14.4" thickBot="1" x14ac:dyDescent="0.3">
      <c r="B69" s="337" t="s">
        <v>18</v>
      </c>
      <c r="C69" s="337"/>
      <c r="D69" s="331" t="s">
        <v>19</v>
      </c>
      <c r="E69" s="331"/>
      <c r="F69" s="331"/>
      <c r="G69" s="331"/>
      <c r="H69" s="331"/>
      <c r="I69" s="83" t="s">
        <v>20</v>
      </c>
    </row>
    <row r="70" spans="2:12" ht="14.4" thickBot="1" x14ac:dyDescent="0.3">
      <c r="B70" s="329" t="s">
        <v>42</v>
      </c>
      <c r="C70" s="329"/>
      <c r="D70" s="332" t="s">
        <v>850</v>
      </c>
      <c r="E70" s="332"/>
      <c r="F70" s="332"/>
      <c r="G70" s="332"/>
      <c r="H70" s="332"/>
      <c r="I70" s="293" t="s">
        <v>472</v>
      </c>
    </row>
    <row r="71" spans="2:12" ht="14.4" thickBot="1" x14ac:dyDescent="0.3">
      <c r="B71" s="328" t="s">
        <v>21</v>
      </c>
      <c r="C71" s="328"/>
      <c r="D71" s="141"/>
      <c r="E71" s="226" t="s">
        <v>22</v>
      </c>
      <c r="F71" s="226" t="s">
        <v>23</v>
      </c>
      <c r="G71" s="88" t="s">
        <v>24</v>
      </c>
      <c r="H71" s="89" t="s">
        <v>25</v>
      </c>
      <c r="I71" s="226" t="s">
        <v>26</v>
      </c>
    </row>
    <row r="72" spans="2:12" x14ac:dyDescent="0.25">
      <c r="B72" s="154">
        <v>650</v>
      </c>
      <c r="C72" s="151" t="s">
        <v>1</v>
      </c>
      <c r="D72" s="84" t="s">
        <v>841</v>
      </c>
      <c r="E72" s="75" t="s">
        <v>22</v>
      </c>
      <c r="F72" s="140">
        <f>3.56*1</f>
        <v>3.56</v>
      </c>
      <c r="G72" s="77">
        <v>12.5</v>
      </c>
      <c r="H72" s="139">
        <v>2.7</v>
      </c>
      <c r="I72" s="140">
        <f t="shared" ref="I72:I73" si="5">F72*G72*H72</f>
        <v>120.15</v>
      </c>
    </row>
    <row r="73" spans="2:12" ht="14.4" thickBot="1" x14ac:dyDescent="0.3">
      <c r="B73" s="154"/>
      <c r="C73" s="151" t="s">
        <v>206</v>
      </c>
      <c r="D73" s="84" t="s">
        <v>852</v>
      </c>
      <c r="E73" s="75" t="s">
        <v>22</v>
      </c>
      <c r="F73" s="140">
        <v>1</v>
      </c>
      <c r="G73" s="77">
        <v>1</v>
      </c>
      <c r="H73" s="139">
        <v>447.75</v>
      </c>
      <c r="I73" s="140">
        <f t="shared" si="5"/>
        <v>447.75</v>
      </c>
    </row>
    <row r="74" spans="2:12" ht="14.4" thickBot="1" x14ac:dyDescent="0.3">
      <c r="B74" s="328" t="s">
        <v>27</v>
      </c>
      <c r="C74" s="328"/>
      <c r="D74" s="141"/>
      <c r="E74" s="226" t="s">
        <v>22</v>
      </c>
      <c r="F74" s="226" t="s">
        <v>23</v>
      </c>
      <c r="G74" s="88" t="s">
        <v>24</v>
      </c>
      <c r="H74" s="89" t="s">
        <v>25</v>
      </c>
      <c r="I74" s="226" t="s">
        <v>26</v>
      </c>
    </row>
    <row r="75" spans="2:12" x14ac:dyDescent="0.25">
      <c r="B75" s="154">
        <v>93358</v>
      </c>
      <c r="C75" s="151" t="s">
        <v>1</v>
      </c>
      <c r="D75" s="84" t="s">
        <v>839</v>
      </c>
      <c r="E75" s="75" t="s">
        <v>80</v>
      </c>
      <c r="F75" s="140">
        <v>1</v>
      </c>
      <c r="G75" s="77">
        <f>1.6384*(1+0.08+0.1)</f>
        <v>1.9333120000000004</v>
      </c>
      <c r="H75" s="139">
        <v>59.97</v>
      </c>
      <c r="I75" s="140">
        <f t="shared" ref="I75:I78" si="6">F75*G75*H75</f>
        <v>115.94072064000002</v>
      </c>
    </row>
    <row r="76" spans="2:12" x14ac:dyDescent="0.25">
      <c r="B76" s="154">
        <v>96995</v>
      </c>
      <c r="C76" s="151" t="s">
        <v>1</v>
      </c>
      <c r="D76" s="84" t="s">
        <v>845</v>
      </c>
      <c r="E76" s="75" t="s">
        <v>80</v>
      </c>
      <c r="F76" s="140">
        <v>1</v>
      </c>
      <c r="G76" s="77">
        <f>(1.6384-0.9604)*1</f>
        <v>0.67800000000000005</v>
      </c>
      <c r="H76" s="139">
        <v>36.36</v>
      </c>
      <c r="I76" s="140">
        <f t="shared" si="6"/>
        <v>24.652080000000002</v>
      </c>
    </row>
    <row r="77" spans="2:12" ht="20.399999999999999" x14ac:dyDescent="0.25">
      <c r="B77" s="154">
        <v>87292</v>
      </c>
      <c r="C77" s="151" t="s">
        <v>1</v>
      </c>
      <c r="D77" s="84" t="s">
        <v>842</v>
      </c>
      <c r="E77" s="75" t="s">
        <v>80</v>
      </c>
      <c r="F77" s="140">
        <f>F72</f>
        <v>3.56</v>
      </c>
      <c r="G77" s="77">
        <v>1.2419999999999999E-2</v>
      </c>
      <c r="H77" s="139">
        <v>450.77</v>
      </c>
      <c r="I77" s="140">
        <f t="shared" si="6"/>
        <v>19.930885703999998</v>
      </c>
    </row>
    <row r="78" spans="2:12" x14ac:dyDescent="0.25">
      <c r="B78" s="154">
        <v>96620</v>
      </c>
      <c r="C78" s="151" t="s">
        <v>1</v>
      </c>
      <c r="D78" s="84" t="s">
        <v>840</v>
      </c>
      <c r="E78" s="75" t="s">
        <v>80</v>
      </c>
      <c r="F78" s="140">
        <v>1</v>
      </c>
      <c r="G78" s="77">
        <f>0.9604*0.08</f>
        <v>7.6831999999999998E-2</v>
      </c>
      <c r="H78" s="139">
        <v>494.63</v>
      </c>
      <c r="I78" s="140">
        <f t="shared" si="6"/>
        <v>38.003412159999996</v>
      </c>
    </row>
    <row r="79" spans="2:12" ht="20.399999999999999" x14ac:dyDescent="0.25">
      <c r="B79" s="156">
        <v>97735</v>
      </c>
      <c r="C79" s="151" t="s">
        <v>1</v>
      </c>
      <c r="D79" s="84" t="s">
        <v>843</v>
      </c>
      <c r="E79" s="75" t="s">
        <v>80</v>
      </c>
      <c r="F79" s="140">
        <v>1</v>
      </c>
      <c r="G79" s="77">
        <f>0.9604*0.07</f>
        <v>6.722800000000001E-2</v>
      </c>
      <c r="H79" s="139">
        <v>2026.58</v>
      </c>
      <c r="I79" s="140">
        <f>F79*G79*H79</f>
        <v>136.24292024000002</v>
      </c>
    </row>
    <row r="80" spans="2:12" ht="20.399999999999999" x14ac:dyDescent="0.25">
      <c r="B80" s="156">
        <v>88628</v>
      </c>
      <c r="C80" s="151" t="s">
        <v>1</v>
      </c>
      <c r="D80" s="84" t="s">
        <v>847</v>
      </c>
      <c r="E80" s="75" t="s">
        <v>80</v>
      </c>
      <c r="F80" s="140">
        <v>1</v>
      </c>
      <c r="G80" s="77">
        <v>9.2600000000000002E-2</v>
      </c>
      <c r="H80" s="139">
        <v>486.93</v>
      </c>
      <c r="I80" s="140">
        <f>F80*G80*H80</f>
        <v>45.089718000000005</v>
      </c>
    </row>
    <row r="81" spans="2:12" ht="21" thickBot="1" x14ac:dyDescent="0.3">
      <c r="B81" s="156">
        <v>101623</v>
      </c>
      <c r="C81" s="151" t="s">
        <v>1</v>
      </c>
      <c r="D81" s="84" t="s">
        <v>846</v>
      </c>
      <c r="E81" s="75" t="s">
        <v>80</v>
      </c>
      <c r="F81" s="140">
        <v>1</v>
      </c>
      <c r="G81" s="77">
        <f>F72*0.1</f>
        <v>0.35600000000000004</v>
      </c>
      <c r="H81" s="139">
        <v>188.56</v>
      </c>
      <c r="I81" s="140">
        <f>F81*G81*H81</f>
        <v>67.12736000000001</v>
      </c>
    </row>
    <row r="82" spans="2:12" ht="14.4" thickBot="1" x14ac:dyDescent="0.3">
      <c r="B82" s="335" t="s">
        <v>28</v>
      </c>
      <c r="C82" s="335"/>
      <c r="D82" s="141"/>
      <c r="E82" s="82" t="s">
        <v>22</v>
      </c>
      <c r="F82" s="82" t="s">
        <v>23</v>
      </c>
      <c r="G82" s="88" t="s">
        <v>24</v>
      </c>
      <c r="H82" s="89" t="s">
        <v>25</v>
      </c>
      <c r="I82" s="226" t="s">
        <v>26</v>
      </c>
    </row>
    <row r="83" spans="2:12" x14ac:dyDescent="0.25">
      <c r="B83" s="154">
        <v>88309</v>
      </c>
      <c r="C83" s="151" t="s">
        <v>1</v>
      </c>
      <c r="D83" s="84" t="s">
        <v>87</v>
      </c>
      <c r="E83" s="75" t="s">
        <v>2</v>
      </c>
      <c r="F83" s="140">
        <v>1</v>
      </c>
      <c r="G83" s="77">
        <v>5.6931000000000003</v>
      </c>
      <c r="H83" s="139">
        <v>18.86</v>
      </c>
      <c r="I83" s="140">
        <f t="shared" ref="I83:I84" si="7">F83*G83*H83</f>
        <v>107.371866</v>
      </c>
    </row>
    <row r="84" spans="2:12" ht="14.4" thickBot="1" x14ac:dyDescent="0.3">
      <c r="B84" s="156">
        <v>88316</v>
      </c>
      <c r="C84" s="151" t="s">
        <v>1</v>
      </c>
      <c r="D84" s="84" t="s">
        <v>651</v>
      </c>
      <c r="E84" s="75" t="s">
        <v>2</v>
      </c>
      <c r="F84" s="140">
        <v>1</v>
      </c>
      <c r="G84" s="77">
        <v>5.6931000000000003</v>
      </c>
      <c r="H84" s="139">
        <v>15.16</v>
      </c>
      <c r="I84" s="140">
        <f t="shared" si="7"/>
        <v>86.307396000000011</v>
      </c>
    </row>
    <row r="85" spans="2:12" ht="14.4" thickBot="1" x14ac:dyDescent="0.3">
      <c r="B85" s="328" t="s">
        <v>29</v>
      </c>
      <c r="C85" s="328"/>
      <c r="D85" s="328"/>
      <c r="E85" s="328"/>
      <c r="F85" s="328"/>
      <c r="G85" s="328"/>
      <c r="H85" s="328"/>
      <c r="I85" s="296">
        <f>SUM(I72:I84)</f>
        <v>1208.5663587439999</v>
      </c>
    </row>
    <row r="86" spans="2:12" x14ac:dyDescent="0.25">
      <c r="B86" s="166"/>
      <c r="C86" s="223" t="s">
        <v>30</v>
      </c>
      <c r="D86" s="90" t="s">
        <v>844</v>
      </c>
      <c r="E86" s="75"/>
      <c r="F86" s="75"/>
      <c r="G86" s="85"/>
      <c r="H86" s="139"/>
      <c r="I86" s="291"/>
    </row>
    <row r="87" spans="2:12" s="90" customFormat="1" ht="10.199999999999999" x14ac:dyDescent="0.25">
      <c r="B87" s="166"/>
      <c r="C87" s="223"/>
      <c r="E87" s="75"/>
      <c r="F87" s="75"/>
      <c r="G87" s="85"/>
      <c r="H87" s="139"/>
      <c r="I87" s="294"/>
      <c r="L87" s="85"/>
    </row>
    <row r="88" spans="2:12" s="90" customFormat="1" ht="10.8" thickBot="1" x14ac:dyDescent="0.3">
      <c r="B88" s="166"/>
      <c r="C88" s="223"/>
      <c r="E88" s="75"/>
      <c r="F88" s="75"/>
      <c r="G88" s="85"/>
      <c r="H88" s="139"/>
      <c r="I88" s="294"/>
      <c r="L88" s="85"/>
    </row>
    <row r="89" spans="2:12" s="90" customFormat="1" ht="10.8" thickBot="1" x14ac:dyDescent="0.3">
      <c r="B89" s="337" t="s">
        <v>18</v>
      </c>
      <c r="C89" s="337"/>
      <c r="D89" s="331" t="s">
        <v>19</v>
      </c>
      <c r="E89" s="331"/>
      <c r="F89" s="331"/>
      <c r="G89" s="331"/>
      <c r="H89" s="331"/>
      <c r="I89" s="291" t="s">
        <v>20</v>
      </c>
      <c r="L89" s="85"/>
    </row>
    <row r="90" spans="2:12" s="90" customFormat="1" ht="10.8" thickBot="1" x14ac:dyDescent="0.3">
      <c r="B90" s="329" t="s">
        <v>101</v>
      </c>
      <c r="C90" s="329"/>
      <c r="D90" s="332" t="s">
        <v>854</v>
      </c>
      <c r="E90" s="332"/>
      <c r="F90" s="332"/>
      <c r="G90" s="332"/>
      <c r="H90" s="332"/>
      <c r="I90" s="293" t="s">
        <v>472</v>
      </c>
      <c r="L90" s="85"/>
    </row>
    <row r="91" spans="2:12" s="90" customFormat="1" ht="10.8" thickBot="1" x14ac:dyDescent="0.3">
      <c r="B91" s="335" t="s">
        <v>21</v>
      </c>
      <c r="C91" s="335"/>
      <c r="D91" s="141"/>
      <c r="E91" s="82" t="s">
        <v>22</v>
      </c>
      <c r="F91" s="82" t="s">
        <v>23</v>
      </c>
      <c r="G91" s="88" t="s">
        <v>24</v>
      </c>
      <c r="H91" s="89" t="s">
        <v>25</v>
      </c>
      <c r="I91" s="226" t="s">
        <v>26</v>
      </c>
      <c r="L91" s="85"/>
    </row>
    <row r="92" spans="2:12" s="90" customFormat="1" ht="21" thickBot="1" x14ac:dyDescent="0.3">
      <c r="B92" s="154">
        <v>1563</v>
      </c>
      <c r="C92" s="151" t="s">
        <v>1</v>
      </c>
      <c r="D92" s="84" t="s">
        <v>958</v>
      </c>
      <c r="E92" s="75" t="s">
        <v>22</v>
      </c>
      <c r="F92" s="140">
        <v>1</v>
      </c>
      <c r="G92" s="77">
        <v>1</v>
      </c>
      <c r="H92" s="139">
        <v>16.739999999999998</v>
      </c>
      <c r="I92" s="140">
        <f>F92*G92*H92</f>
        <v>16.739999999999998</v>
      </c>
      <c r="L92" s="85"/>
    </row>
    <row r="93" spans="2:12" s="90" customFormat="1" ht="10.8" thickBot="1" x14ac:dyDescent="0.3">
      <c r="B93" s="335" t="s">
        <v>28</v>
      </c>
      <c r="C93" s="335"/>
      <c r="D93" s="141"/>
      <c r="E93" s="82" t="s">
        <v>22</v>
      </c>
      <c r="F93" s="82" t="s">
        <v>23</v>
      </c>
      <c r="G93" s="88" t="s">
        <v>24</v>
      </c>
      <c r="H93" s="89" t="s">
        <v>25</v>
      </c>
      <c r="I93" s="226" t="s">
        <v>26</v>
      </c>
      <c r="L93" s="85"/>
    </row>
    <row r="94" spans="2:12" s="90" customFormat="1" ht="10.199999999999999" x14ac:dyDescent="0.25">
      <c r="B94" s="155">
        <v>88316</v>
      </c>
      <c r="C94" s="151" t="s">
        <v>1</v>
      </c>
      <c r="D94" s="84" t="s">
        <v>651</v>
      </c>
      <c r="E94" s="75" t="s">
        <v>2</v>
      </c>
      <c r="F94" s="140">
        <v>1</v>
      </c>
      <c r="G94" s="77">
        <v>0.1</v>
      </c>
      <c r="H94" s="139">
        <v>15.16</v>
      </c>
      <c r="I94" s="140">
        <f t="shared" ref="I94" si="8">F94*G94*H94</f>
        <v>1.516</v>
      </c>
      <c r="L94" s="85"/>
    </row>
    <row r="95" spans="2:12" s="90" customFormat="1" ht="10.8" thickBot="1" x14ac:dyDescent="0.3">
      <c r="B95" s="156">
        <v>88264</v>
      </c>
      <c r="C95" s="151" t="s">
        <v>1</v>
      </c>
      <c r="D95" s="84" t="s">
        <v>3</v>
      </c>
      <c r="E95" s="75" t="s">
        <v>2</v>
      </c>
      <c r="F95" s="140">
        <v>1</v>
      </c>
      <c r="G95" s="77">
        <v>0.1</v>
      </c>
      <c r="H95" s="139">
        <v>19.53</v>
      </c>
      <c r="I95" s="140">
        <f>F95*G95*H95</f>
        <v>1.9530000000000003</v>
      </c>
      <c r="L95" s="85"/>
    </row>
    <row r="96" spans="2:12" s="90" customFormat="1" ht="10.8" thickBot="1" x14ac:dyDescent="0.3">
      <c r="B96" s="328" t="s">
        <v>29</v>
      </c>
      <c r="C96" s="328"/>
      <c r="D96" s="328"/>
      <c r="E96" s="328"/>
      <c r="F96" s="328"/>
      <c r="G96" s="328"/>
      <c r="H96" s="328"/>
      <c r="I96" s="296">
        <f>SUM(I92:I95)</f>
        <v>20.209</v>
      </c>
      <c r="L96" s="85"/>
    </row>
    <row r="97" spans="2:12" s="90" customFormat="1" ht="10.199999999999999" x14ac:dyDescent="0.25">
      <c r="B97" s="166"/>
      <c r="C97" s="223" t="s">
        <v>30</v>
      </c>
      <c r="D97" s="90" t="s">
        <v>652</v>
      </c>
      <c r="E97" s="75"/>
      <c r="F97" s="75"/>
      <c r="G97" s="85"/>
      <c r="H97" s="139"/>
      <c r="I97" s="291"/>
      <c r="L97" s="85"/>
    </row>
    <row r="98" spans="2:12" s="90" customFormat="1" ht="10.199999999999999" x14ac:dyDescent="0.25">
      <c r="B98" s="166"/>
      <c r="C98" s="223"/>
      <c r="E98" s="75"/>
      <c r="F98" s="75"/>
      <c r="G98" s="85"/>
      <c r="H98" s="139"/>
      <c r="I98" s="294"/>
      <c r="L98" s="85"/>
    </row>
    <row r="99" spans="2:12" s="90" customFormat="1" ht="10.8" thickBot="1" x14ac:dyDescent="0.3">
      <c r="B99" s="166"/>
      <c r="C99" s="223"/>
      <c r="E99" s="75"/>
      <c r="F99" s="75"/>
      <c r="G99" s="85"/>
      <c r="H99" s="139"/>
      <c r="I99" s="294"/>
      <c r="L99" s="85"/>
    </row>
    <row r="100" spans="2:12" ht="14.4" thickBot="1" x14ac:dyDescent="0.3">
      <c r="B100" s="337" t="s">
        <v>18</v>
      </c>
      <c r="C100" s="337"/>
      <c r="D100" s="331" t="s">
        <v>19</v>
      </c>
      <c r="E100" s="331"/>
      <c r="F100" s="331"/>
      <c r="G100" s="331"/>
      <c r="H100" s="331"/>
      <c r="I100" s="291" t="s">
        <v>20</v>
      </c>
    </row>
    <row r="101" spans="2:12" ht="14.4" thickBot="1" x14ac:dyDescent="0.3">
      <c r="B101" s="329" t="s">
        <v>98</v>
      </c>
      <c r="C101" s="329"/>
      <c r="D101" s="332" t="s">
        <v>1234</v>
      </c>
      <c r="E101" s="332"/>
      <c r="F101" s="332"/>
      <c r="G101" s="332"/>
      <c r="H101" s="332"/>
      <c r="I101" s="293" t="s">
        <v>8</v>
      </c>
    </row>
    <row r="102" spans="2:12" ht="14.4" thickBot="1" x14ac:dyDescent="0.3">
      <c r="B102" s="335" t="s">
        <v>27</v>
      </c>
      <c r="C102" s="335"/>
      <c r="D102" s="141"/>
      <c r="E102" s="82" t="s">
        <v>22</v>
      </c>
      <c r="F102" s="82" t="s">
        <v>23</v>
      </c>
      <c r="G102" s="88" t="s">
        <v>24</v>
      </c>
      <c r="H102" s="89" t="s">
        <v>25</v>
      </c>
      <c r="I102" s="226" t="s">
        <v>26</v>
      </c>
    </row>
    <row r="103" spans="2:12" ht="30.6" x14ac:dyDescent="0.25">
      <c r="B103" s="166">
        <v>90105</v>
      </c>
      <c r="C103" s="151" t="s">
        <v>1</v>
      </c>
      <c r="D103" s="84" t="s">
        <v>276</v>
      </c>
      <c r="E103" s="75" t="s">
        <v>80</v>
      </c>
      <c r="F103" s="140">
        <v>1</v>
      </c>
      <c r="G103" s="77">
        <f>0.5*0.3*1</f>
        <v>0.15</v>
      </c>
      <c r="H103" s="139">
        <v>6.38</v>
      </c>
      <c r="I103" s="140">
        <f>F103*G103*H103</f>
        <v>0.95699999999999996</v>
      </c>
      <c r="K103" s="140"/>
    </row>
    <row r="104" spans="2:12" ht="14.4" thickBot="1" x14ac:dyDescent="0.3">
      <c r="B104" s="156">
        <v>96995</v>
      </c>
      <c r="C104" s="151" t="s">
        <v>1</v>
      </c>
      <c r="D104" s="84" t="s">
        <v>670</v>
      </c>
      <c r="E104" s="75" t="s">
        <v>80</v>
      </c>
      <c r="F104" s="140">
        <v>1</v>
      </c>
      <c r="G104" s="77">
        <f>G103*0.97</f>
        <v>0.14549999999999999</v>
      </c>
      <c r="H104" s="139">
        <v>36.36</v>
      </c>
      <c r="I104" s="140">
        <f>F104*G104*H104</f>
        <v>5.2903799999999999</v>
      </c>
    </row>
    <row r="105" spans="2:12" ht="14.4" thickBot="1" x14ac:dyDescent="0.3">
      <c r="B105" s="328" t="s">
        <v>29</v>
      </c>
      <c r="C105" s="328"/>
      <c r="D105" s="328"/>
      <c r="E105" s="328"/>
      <c r="F105" s="328"/>
      <c r="G105" s="328"/>
      <c r="H105" s="328"/>
      <c r="I105" s="296">
        <f>SUM(I103:I104)</f>
        <v>6.2473799999999997</v>
      </c>
    </row>
    <row r="106" spans="2:12" s="90" customFormat="1" ht="10.199999999999999" x14ac:dyDescent="0.25">
      <c r="B106" s="166"/>
      <c r="C106" s="223" t="s">
        <v>30</v>
      </c>
      <c r="D106" s="90" t="s">
        <v>671</v>
      </c>
      <c r="E106" s="75"/>
      <c r="F106" s="75"/>
      <c r="G106" s="85"/>
      <c r="H106" s="139"/>
      <c r="I106" s="291"/>
      <c r="L106" s="85"/>
    </row>
    <row r="107" spans="2:12" s="90" customFormat="1" ht="10.199999999999999" x14ac:dyDescent="0.25">
      <c r="B107" s="166"/>
      <c r="C107" s="223"/>
      <c r="E107" s="75"/>
      <c r="F107" s="75"/>
      <c r="G107" s="85"/>
      <c r="H107" s="139"/>
      <c r="I107" s="294"/>
      <c r="L107" s="85"/>
    </row>
    <row r="108" spans="2:12" s="90" customFormat="1" ht="10.8" thickBot="1" x14ac:dyDescent="0.3">
      <c r="B108" s="166"/>
      <c r="C108" s="223"/>
      <c r="E108" s="75"/>
      <c r="F108" s="75"/>
      <c r="G108" s="85"/>
      <c r="H108" s="139"/>
      <c r="I108" s="294"/>
      <c r="L108" s="85"/>
    </row>
    <row r="109" spans="2:12" ht="14.4" thickBot="1" x14ac:dyDescent="0.3">
      <c r="B109" s="330" t="s">
        <v>18</v>
      </c>
      <c r="C109" s="330"/>
      <c r="D109" s="331" t="s">
        <v>19</v>
      </c>
      <c r="E109" s="331"/>
      <c r="F109" s="331"/>
      <c r="G109" s="331"/>
      <c r="H109" s="331"/>
      <c r="I109" s="291" t="s">
        <v>20</v>
      </c>
    </row>
    <row r="110" spans="2:12" ht="14.4" thickBot="1" x14ac:dyDescent="0.3">
      <c r="B110" s="329" t="s">
        <v>105</v>
      </c>
      <c r="C110" s="329"/>
      <c r="D110" s="332" t="s">
        <v>862</v>
      </c>
      <c r="E110" s="332"/>
      <c r="F110" s="332"/>
      <c r="G110" s="332"/>
      <c r="H110" s="332"/>
      <c r="I110" s="293" t="s">
        <v>472</v>
      </c>
    </row>
    <row r="111" spans="2:12" ht="14.4" thickBot="1" x14ac:dyDescent="0.3">
      <c r="B111" s="328" t="s">
        <v>28</v>
      </c>
      <c r="C111" s="328"/>
      <c r="D111" s="82"/>
      <c r="E111" s="82" t="s">
        <v>22</v>
      </c>
      <c r="F111" s="82" t="s">
        <v>23</v>
      </c>
      <c r="G111" s="88" t="s">
        <v>24</v>
      </c>
      <c r="H111" s="89" t="s">
        <v>25</v>
      </c>
      <c r="I111" s="226" t="s">
        <v>26</v>
      </c>
    </row>
    <row r="112" spans="2:12" x14ac:dyDescent="0.25">
      <c r="B112" s="151">
        <v>88264</v>
      </c>
      <c r="C112" s="166" t="s">
        <v>1</v>
      </c>
      <c r="D112" s="84" t="s">
        <v>858</v>
      </c>
      <c r="E112" s="75" t="s">
        <v>2</v>
      </c>
      <c r="F112" s="85">
        <v>1</v>
      </c>
      <c r="G112" s="86">
        <v>7</v>
      </c>
      <c r="H112" s="87">
        <v>19.53</v>
      </c>
      <c r="I112" s="140">
        <f t="shared" ref="I112:I113" si="9">F112*G112*H112</f>
        <v>136.71</v>
      </c>
    </row>
    <row r="113" spans="2:12" ht="14.4" thickBot="1" x14ac:dyDescent="0.3">
      <c r="B113" s="156">
        <v>91677</v>
      </c>
      <c r="C113" s="166" t="s">
        <v>1</v>
      </c>
      <c r="D113" s="84" t="s">
        <v>861</v>
      </c>
      <c r="E113" s="75" t="s">
        <v>2</v>
      </c>
      <c r="F113" s="85">
        <v>1</v>
      </c>
      <c r="G113" s="86">
        <v>7</v>
      </c>
      <c r="H113" s="87">
        <v>78.489999999999995</v>
      </c>
      <c r="I113" s="140">
        <f t="shared" si="9"/>
        <v>549.42999999999995</v>
      </c>
    </row>
    <row r="114" spans="2:12" ht="14.4" thickBot="1" x14ac:dyDescent="0.3">
      <c r="B114" s="328" t="s">
        <v>29</v>
      </c>
      <c r="C114" s="328"/>
      <c r="D114" s="328"/>
      <c r="E114" s="328"/>
      <c r="F114" s="328"/>
      <c r="G114" s="328"/>
      <c r="H114" s="328"/>
      <c r="I114" s="296">
        <f>SUM(I112:I113)</f>
        <v>686.14</v>
      </c>
    </row>
    <row r="115" spans="2:12" x14ac:dyDescent="0.25">
      <c r="B115" s="151"/>
      <c r="C115" s="166" t="s">
        <v>30</v>
      </c>
      <c r="D115" s="90" t="s">
        <v>859</v>
      </c>
      <c r="E115" s="75"/>
      <c r="I115" s="291"/>
    </row>
    <row r="116" spans="2:12" s="90" customFormat="1" ht="10.199999999999999" x14ac:dyDescent="0.25">
      <c r="B116" s="166"/>
      <c r="C116" s="223"/>
      <c r="E116" s="75"/>
      <c r="F116" s="75"/>
      <c r="G116" s="85"/>
      <c r="H116" s="139"/>
      <c r="I116" s="294"/>
      <c r="L116" s="85"/>
    </row>
    <row r="117" spans="2:12" s="90" customFormat="1" ht="10.8" thickBot="1" x14ac:dyDescent="0.3">
      <c r="B117" s="166"/>
      <c r="C117" s="223"/>
      <c r="E117" s="75"/>
      <c r="F117" s="75"/>
      <c r="G117" s="85"/>
      <c r="H117" s="139"/>
      <c r="I117" s="294"/>
      <c r="L117" s="85"/>
    </row>
    <row r="118" spans="2:12" ht="14.4" thickBot="1" x14ac:dyDescent="0.3">
      <c r="B118" s="330" t="s">
        <v>18</v>
      </c>
      <c r="C118" s="330"/>
      <c r="D118" s="331" t="s">
        <v>19</v>
      </c>
      <c r="E118" s="331"/>
      <c r="F118" s="331"/>
      <c r="G118" s="331"/>
      <c r="H118" s="331"/>
      <c r="I118" s="291" t="s">
        <v>20</v>
      </c>
    </row>
    <row r="119" spans="2:12" ht="14.4" thickBot="1" x14ac:dyDescent="0.3">
      <c r="B119" s="329" t="s">
        <v>117</v>
      </c>
      <c r="C119" s="329"/>
      <c r="D119" s="332" t="s">
        <v>136</v>
      </c>
      <c r="E119" s="332"/>
      <c r="F119" s="332"/>
      <c r="G119" s="332"/>
      <c r="H119" s="332"/>
      <c r="I119" s="293" t="s">
        <v>8</v>
      </c>
    </row>
    <row r="120" spans="2:12" ht="14.4" thickBot="1" x14ac:dyDescent="0.3">
      <c r="B120" s="328" t="s">
        <v>21</v>
      </c>
      <c r="C120" s="328"/>
      <c r="D120" s="141"/>
      <c r="E120" s="82" t="s">
        <v>22</v>
      </c>
      <c r="F120" s="82" t="s">
        <v>23</v>
      </c>
      <c r="G120" s="88" t="s">
        <v>24</v>
      </c>
      <c r="H120" s="89" t="s">
        <v>25</v>
      </c>
      <c r="I120" s="226" t="s">
        <v>26</v>
      </c>
    </row>
    <row r="121" spans="2:12" ht="14.4" thickBot="1" x14ac:dyDescent="0.3">
      <c r="B121" s="156">
        <v>4116</v>
      </c>
      <c r="C121" s="151" t="s">
        <v>9</v>
      </c>
      <c r="D121" s="84" t="s">
        <v>119</v>
      </c>
      <c r="E121" s="75" t="s">
        <v>8</v>
      </c>
      <c r="F121" s="140">
        <v>1</v>
      </c>
      <c r="G121" s="77">
        <v>1.02</v>
      </c>
      <c r="H121" s="139">
        <v>26.44</v>
      </c>
      <c r="I121" s="140">
        <f>F121*G121*H121</f>
        <v>26.968800000000002</v>
      </c>
    </row>
    <row r="122" spans="2:12" ht="14.4" thickBot="1" x14ac:dyDescent="0.3">
      <c r="B122" s="328" t="s">
        <v>28</v>
      </c>
      <c r="C122" s="328"/>
      <c r="D122" s="141"/>
      <c r="E122" s="82" t="s">
        <v>22</v>
      </c>
      <c r="F122" s="82" t="s">
        <v>23</v>
      </c>
      <c r="G122" s="88" t="s">
        <v>24</v>
      </c>
      <c r="H122" s="89" t="s">
        <v>25</v>
      </c>
      <c r="I122" s="226" t="s">
        <v>26</v>
      </c>
    </row>
    <row r="123" spans="2:12" x14ac:dyDescent="0.25">
      <c r="B123" s="156">
        <v>88247</v>
      </c>
      <c r="C123" s="151" t="s">
        <v>1</v>
      </c>
      <c r="D123" s="84" t="s">
        <v>95</v>
      </c>
      <c r="E123" s="75" t="s">
        <v>2</v>
      </c>
      <c r="F123" s="140">
        <v>1</v>
      </c>
      <c r="G123" s="77">
        <v>0.17</v>
      </c>
      <c r="H123" s="139">
        <v>15.19</v>
      </c>
      <c r="I123" s="140">
        <f>F123*G123*H123</f>
        <v>2.5823</v>
      </c>
    </row>
    <row r="124" spans="2:12" ht="14.4" thickBot="1" x14ac:dyDescent="0.3">
      <c r="B124" s="156">
        <v>88264</v>
      </c>
      <c r="C124" s="151" t="s">
        <v>1</v>
      </c>
      <c r="D124" s="84" t="s">
        <v>3</v>
      </c>
      <c r="E124" s="75" t="s">
        <v>2</v>
      </c>
      <c r="F124" s="140">
        <v>1</v>
      </c>
      <c r="G124" s="77">
        <v>0.17</v>
      </c>
      <c r="H124" s="139">
        <v>19.53</v>
      </c>
      <c r="I124" s="140">
        <f>F124*G124*H124</f>
        <v>3.3201000000000005</v>
      </c>
    </row>
    <row r="125" spans="2:12" ht="14.4" thickBot="1" x14ac:dyDescent="0.3">
      <c r="B125" s="328" t="s">
        <v>29</v>
      </c>
      <c r="C125" s="328"/>
      <c r="D125" s="328"/>
      <c r="E125" s="328"/>
      <c r="F125" s="328"/>
      <c r="G125" s="328"/>
      <c r="H125" s="328"/>
      <c r="I125" s="296">
        <f>SUM(I121:I124)</f>
        <v>32.871200000000002</v>
      </c>
    </row>
    <row r="126" spans="2:12" s="90" customFormat="1" ht="10.199999999999999" x14ac:dyDescent="0.25">
      <c r="B126" s="166"/>
      <c r="C126" s="223" t="s">
        <v>30</v>
      </c>
      <c r="D126" s="90" t="s">
        <v>121</v>
      </c>
      <c r="E126" s="75"/>
      <c r="F126" s="75"/>
      <c r="G126" s="85"/>
      <c r="H126" s="139"/>
      <c r="I126" s="291"/>
      <c r="L126" s="85"/>
    </row>
    <row r="127" spans="2:12" x14ac:dyDescent="0.25">
      <c r="C127" s="223"/>
      <c r="I127" s="294"/>
    </row>
    <row r="128" spans="2:12" ht="14.4" thickBot="1" x14ac:dyDescent="0.3">
      <c r="C128" s="223"/>
      <c r="I128" s="294"/>
    </row>
    <row r="129" spans="2:12" ht="14.4" thickBot="1" x14ac:dyDescent="0.3">
      <c r="B129" s="330" t="s">
        <v>18</v>
      </c>
      <c r="C129" s="330"/>
      <c r="D129" s="331" t="s">
        <v>19</v>
      </c>
      <c r="E129" s="331"/>
      <c r="F129" s="331"/>
      <c r="G129" s="331"/>
      <c r="H129" s="331"/>
      <c r="I129" s="291" t="s">
        <v>20</v>
      </c>
    </row>
    <row r="130" spans="2:12" ht="14.4" thickBot="1" x14ac:dyDescent="0.3">
      <c r="B130" s="329" t="s">
        <v>118</v>
      </c>
      <c r="C130" s="329"/>
      <c r="D130" s="332" t="s">
        <v>137</v>
      </c>
      <c r="E130" s="332"/>
      <c r="F130" s="332"/>
      <c r="G130" s="332"/>
      <c r="H130" s="332"/>
      <c r="I130" s="293" t="s">
        <v>8</v>
      </c>
    </row>
    <row r="131" spans="2:12" ht="14.4" thickBot="1" x14ac:dyDescent="0.3">
      <c r="B131" s="328" t="s">
        <v>21</v>
      </c>
      <c r="C131" s="328"/>
      <c r="D131" s="141"/>
      <c r="E131" s="82" t="s">
        <v>22</v>
      </c>
      <c r="F131" s="82" t="s">
        <v>23</v>
      </c>
      <c r="G131" s="88" t="s">
        <v>24</v>
      </c>
      <c r="H131" s="89" t="s">
        <v>25</v>
      </c>
      <c r="I131" s="226" t="s">
        <v>26</v>
      </c>
    </row>
    <row r="132" spans="2:12" ht="14.4" thickBot="1" x14ac:dyDescent="0.3">
      <c r="B132" s="156">
        <v>4117</v>
      </c>
      <c r="C132" s="151" t="s">
        <v>9</v>
      </c>
      <c r="D132" s="84" t="s">
        <v>123</v>
      </c>
      <c r="E132" s="75" t="s">
        <v>8</v>
      </c>
      <c r="F132" s="140">
        <v>1</v>
      </c>
      <c r="G132" s="77">
        <v>1.02</v>
      </c>
      <c r="H132" s="139">
        <v>38</v>
      </c>
      <c r="I132" s="140">
        <f>F132*G132*H132</f>
        <v>38.76</v>
      </c>
    </row>
    <row r="133" spans="2:12" ht="14.4" thickBot="1" x14ac:dyDescent="0.3">
      <c r="B133" s="328" t="s">
        <v>28</v>
      </c>
      <c r="C133" s="328"/>
      <c r="D133" s="141"/>
      <c r="E133" s="82" t="s">
        <v>22</v>
      </c>
      <c r="F133" s="82" t="s">
        <v>23</v>
      </c>
      <c r="G133" s="88" t="s">
        <v>24</v>
      </c>
      <c r="H133" s="89" t="s">
        <v>25</v>
      </c>
      <c r="I133" s="226" t="s">
        <v>26</v>
      </c>
    </row>
    <row r="134" spans="2:12" x14ac:dyDescent="0.25">
      <c r="B134" s="156">
        <v>88247</v>
      </c>
      <c r="C134" s="151" t="s">
        <v>1</v>
      </c>
      <c r="D134" s="84" t="s">
        <v>95</v>
      </c>
      <c r="E134" s="75" t="s">
        <v>2</v>
      </c>
      <c r="F134" s="140">
        <v>1</v>
      </c>
      <c r="G134" s="77">
        <v>0.17</v>
      </c>
      <c r="H134" s="139">
        <v>15.19</v>
      </c>
      <c r="I134" s="140">
        <f>F134*G134*H134</f>
        <v>2.5823</v>
      </c>
    </row>
    <row r="135" spans="2:12" ht="14.4" thickBot="1" x14ac:dyDescent="0.3">
      <c r="B135" s="156">
        <v>88264</v>
      </c>
      <c r="C135" s="151" t="s">
        <v>1</v>
      </c>
      <c r="D135" s="84" t="s">
        <v>3</v>
      </c>
      <c r="E135" s="75" t="s">
        <v>2</v>
      </c>
      <c r="F135" s="140">
        <v>1</v>
      </c>
      <c r="G135" s="77">
        <v>0.17</v>
      </c>
      <c r="H135" s="139">
        <v>19.53</v>
      </c>
      <c r="I135" s="140">
        <f>F135*G135*H135</f>
        <v>3.3201000000000005</v>
      </c>
    </row>
    <row r="136" spans="2:12" ht="14.4" thickBot="1" x14ac:dyDescent="0.3">
      <c r="B136" s="328" t="s">
        <v>29</v>
      </c>
      <c r="C136" s="328"/>
      <c r="D136" s="328"/>
      <c r="E136" s="328"/>
      <c r="F136" s="328"/>
      <c r="G136" s="328"/>
      <c r="H136" s="328"/>
      <c r="I136" s="296">
        <f>SUM(I132:I135)</f>
        <v>44.662399999999998</v>
      </c>
    </row>
    <row r="137" spans="2:12" s="90" customFormat="1" ht="10.199999999999999" x14ac:dyDescent="0.25">
      <c r="B137" s="166"/>
      <c r="C137" s="223" t="s">
        <v>30</v>
      </c>
      <c r="D137" s="90" t="s">
        <v>124</v>
      </c>
      <c r="E137" s="75"/>
      <c r="F137" s="75"/>
      <c r="G137" s="85"/>
      <c r="H137" s="139"/>
      <c r="I137" s="291"/>
      <c r="L137" s="85"/>
    </row>
    <row r="138" spans="2:12" x14ac:dyDescent="0.25">
      <c r="C138" s="223"/>
      <c r="I138" s="294"/>
    </row>
    <row r="139" spans="2:12" ht="14.4" thickBot="1" x14ac:dyDescent="0.3">
      <c r="C139" s="223"/>
      <c r="I139" s="294"/>
    </row>
    <row r="140" spans="2:12" ht="14.4" thickBot="1" x14ac:dyDescent="0.3">
      <c r="B140" s="330" t="s">
        <v>18</v>
      </c>
      <c r="C140" s="330"/>
      <c r="D140" s="331" t="s">
        <v>19</v>
      </c>
      <c r="E140" s="331"/>
      <c r="F140" s="331"/>
      <c r="G140" s="331"/>
      <c r="H140" s="331"/>
      <c r="I140" s="291" t="s">
        <v>20</v>
      </c>
    </row>
    <row r="141" spans="2:12" ht="14.4" thickBot="1" x14ac:dyDescent="0.3">
      <c r="B141" s="329" t="s">
        <v>122</v>
      </c>
      <c r="C141" s="329"/>
      <c r="D141" s="332" t="s">
        <v>878</v>
      </c>
      <c r="E141" s="332"/>
      <c r="F141" s="332"/>
      <c r="G141" s="332"/>
      <c r="H141" s="332"/>
      <c r="I141" s="293" t="s">
        <v>8</v>
      </c>
    </row>
    <row r="142" spans="2:12" ht="14.4" thickBot="1" x14ac:dyDescent="0.3">
      <c r="B142" s="328" t="s">
        <v>21</v>
      </c>
      <c r="C142" s="328"/>
      <c r="D142" s="141"/>
      <c r="E142" s="82" t="s">
        <v>22</v>
      </c>
      <c r="F142" s="82" t="s">
        <v>23</v>
      </c>
      <c r="G142" s="88" t="s">
        <v>24</v>
      </c>
      <c r="H142" s="89" t="s">
        <v>25</v>
      </c>
      <c r="I142" s="226" t="s">
        <v>26</v>
      </c>
    </row>
    <row r="143" spans="2:12" ht="14.4" thickBot="1" x14ac:dyDescent="0.3">
      <c r="B143" s="154">
        <v>4118</v>
      </c>
      <c r="C143" s="151" t="s">
        <v>9</v>
      </c>
      <c r="D143" s="84" t="s">
        <v>879</v>
      </c>
      <c r="E143" s="75" t="s">
        <v>8</v>
      </c>
      <c r="F143" s="140">
        <v>1</v>
      </c>
      <c r="G143" s="77">
        <v>1.02</v>
      </c>
      <c r="H143" s="139">
        <v>53.9</v>
      </c>
      <c r="I143" s="140">
        <f>F143*G143*H143</f>
        <v>54.978000000000002</v>
      </c>
    </row>
    <row r="144" spans="2:12" ht="14.4" thickBot="1" x14ac:dyDescent="0.3">
      <c r="B144" s="328" t="s">
        <v>28</v>
      </c>
      <c r="C144" s="328"/>
      <c r="D144" s="141"/>
      <c r="E144" s="82" t="s">
        <v>22</v>
      </c>
      <c r="F144" s="82" t="s">
        <v>23</v>
      </c>
      <c r="G144" s="88" t="s">
        <v>24</v>
      </c>
      <c r="H144" s="89" t="s">
        <v>25</v>
      </c>
      <c r="I144" s="226" t="s">
        <v>26</v>
      </c>
    </row>
    <row r="145" spans="2:12" x14ac:dyDescent="0.25">
      <c r="B145" s="156">
        <v>88247</v>
      </c>
      <c r="C145" s="151" t="s">
        <v>1</v>
      </c>
      <c r="D145" s="84" t="s">
        <v>95</v>
      </c>
      <c r="E145" s="75" t="s">
        <v>2</v>
      </c>
      <c r="F145" s="140">
        <v>1</v>
      </c>
      <c r="G145" s="77">
        <v>0.17</v>
      </c>
      <c r="H145" s="139">
        <v>15.19</v>
      </c>
      <c r="I145" s="140">
        <f>F145*G145*H145</f>
        <v>2.5823</v>
      </c>
    </row>
    <row r="146" spans="2:12" ht="14.4" thickBot="1" x14ac:dyDescent="0.3">
      <c r="B146" s="156">
        <v>88264</v>
      </c>
      <c r="C146" s="151" t="s">
        <v>1</v>
      </c>
      <c r="D146" s="84" t="s">
        <v>3</v>
      </c>
      <c r="E146" s="75" t="s">
        <v>2</v>
      </c>
      <c r="F146" s="140">
        <v>1</v>
      </c>
      <c r="G146" s="77">
        <v>0.17</v>
      </c>
      <c r="H146" s="139">
        <v>19.53</v>
      </c>
      <c r="I146" s="140">
        <f>F146*G146*H146</f>
        <v>3.3201000000000005</v>
      </c>
    </row>
    <row r="147" spans="2:12" ht="14.4" thickBot="1" x14ac:dyDescent="0.3">
      <c r="B147" s="328" t="s">
        <v>29</v>
      </c>
      <c r="C147" s="328"/>
      <c r="D147" s="328"/>
      <c r="E147" s="328"/>
      <c r="F147" s="328"/>
      <c r="G147" s="328"/>
      <c r="H147" s="328"/>
      <c r="I147" s="296">
        <f>SUM(I143:I146)</f>
        <v>60.880400000000002</v>
      </c>
    </row>
    <row r="148" spans="2:12" s="90" customFormat="1" ht="10.199999999999999" x14ac:dyDescent="0.25">
      <c r="B148" s="166"/>
      <c r="C148" s="223" t="s">
        <v>30</v>
      </c>
      <c r="D148" s="90" t="s">
        <v>124</v>
      </c>
      <c r="E148" s="75"/>
      <c r="F148" s="75"/>
      <c r="G148" s="85"/>
      <c r="H148" s="139"/>
      <c r="I148" s="291"/>
      <c r="L148" s="85"/>
    </row>
    <row r="149" spans="2:12" s="90" customFormat="1" ht="10.199999999999999" x14ac:dyDescent="0.25">
      <c r="B149" s="166"/>
      <c r="C149" s="223"/>
      <c r="E149" s="75"/>
      <c r="F149" s="75"/>
      <c r="G149" s="85"/>
      <c r="H149" s="139"/>
      <c r="I149" s="294"/>
      <c r="L149" s="85"/>
    </row>
    <row r="150" spans="2:12" s="90" customFormat="1" ht="10.8" thickBot="1" x14ac:dyDescent="0.3">
      <c r="B150" s="166"/>
      <c r="C150" s="223"/>
      <c r="E150" s="75"/>
      <c r="F150" s="75"/>
      <c r="G150" s="85"/>
      <c r="H150" s="139"/>
      <c r="I150" s="294"/>
      <c r="L150" s="85"/>
    </row>
    <row r="151" spans="2:12" s="90" customFormat="1" ht="10.8" thickBot="1" x14ac:dyDescent="0.3">
      <c r="B151" s="330" t="s">
        <v>18</v>
      </c>
      <c r="C151" s="330"/>
      <c r="D151" s="331" t="s">
        <v>19</v>
      </c>
      <c r="E151" s="331"/>
      <c r="F151" s="331"/>
      <c r="G151" s="331"/>
      <c r="H151" s="331"/>
      <c r="I151" s="291" t="s">
        <v>20</v>
      </c>
      <c r="L151" s="85"/>
    </row>
    <row r="152" spans="2:12" s="90" customFormat="1" ht="10.8" thickBot="1" x14ac:dyDescent="0.3">
      <c r="B152" s="329" t="s">
        <v>125</v>
      </c>
      <c r="C152" s="329"/>
      <c r="D152" s="332" t="s">
        <v>880</v>
      </c>
      <c r="E152" s="332"/>
      <c r="F152" s="332"/>
      <c r="G152" s="332"/>
      <c r="H152" s="332"/>
      <c r="I152" s="293" t="s">
        <v>8</v>
      </c>
      <c r="L152" s="85"/>
    </row>
    <row r="153" spans="2:12" s="90" customFormat="1" ht="10.8" thickBot="1" x14ac:dyDescent="0.3">
      <c r="B153" s="328" t="s">
        <v>21</v>
      </c>
      <c r="C153" s="328"/>
      <c r="D153" s="141"/>
      <c r="E153" s="82" t="s">
        <v>22</v>
      </c>
      <c r="F153" s="82" t="s">
        <v>23</v>
      </c>
      <c r="G153" s="88" t="s">
        <v>24</v>
      </c>
      <c r="H153" s="89" t="s">
        <v>25</v>
      </c>
      <c r="I153" s="226" t="s">
        <v>26</v>
      </c>
      <c r="L153" s="85"/>
    </row>
    <row r="154" spans="2:12" s="90" customFormat="1" ht="10.8" thickBot="1" x14ac:dyDescent="0.3">
      <c r="B154" s="154">
        <v>4119</v>
      </c>
      <c r="C154" s="151" t="s">
        <v>9</v>
      </c>
      <c r="D154" s="84" t="s">
        <v>881</v>
      </c>
      <c r="E154" s="75" t="s">
        <v>8</v>
      </c>
      <c r="F154" s="140">
        <v>1</v>
      </c>
      <c r="G154" s="77">
        <v>1.02</v>
      </c>
      <c r="H154" s="139">
        <v>80.599999999999994</v>
      </c>
      <c r="I154" s="140">
        <f>F154*G154*H154</f>
        <v>82.211999999999989</v>
      </c>
      <c r="L154" s="85"/>
    </row>
    <row r="155" spans="2:12" s="90" customFormat="1" ht="10.8" thickBot="1" x14ac:dyDescent="0.3">
      <c r="B155" s="328" t="s">
        <v>28</v>
      </c>
      <c r="C155" s="328"/>
      <c r="D155" s="141"/>
      <c r="E155" s="82" t="s">
        <v>22</v>
      </c>
      <c r="F155" s="82" t="s">
        <v>23</v>
      </c>
      <c r="G155" s="88" t="s">
        <v>24</v>
      </c>
      <c r="H155" s="89" t="s">
        <v>25</v>
      </c>
      <c r="I155" s="226" t="s">
        <v>26</v>
      </c>
      <c r="L155" s="85"/>
    </row>
    <row r="156" spans="2:12" s="90" customFormat="1" ht="10.199999999999999" x14ac:dyDescent="0.25">
      <c r="B156" s="156">
        <v>88247</v>
      </c>
      <c r="C156" s="151" t="s">
        <v>1</v>
      </c>
      <c r="D156" s="84" t="s">
        <v>95</v>
      </c>
      <c r="E156" s="75" t="s">
        <v>2</v>
      </c>
      <c r="F156" s="140">
        <v>1</v>
      </c>
      <c r="G156" s="77">
        <v>0.17</v>
      </c>
      <c r="H156" s="139">
        <v>15.19</v>
      </c>
      <c r="I156" s="140">
        <f>F156*G156*H156</f>
        <v>2.5823</v>
      </c>
      <c r="L156" s="85"/>
    </row>
    <row r="157" spans="2:12" s="90" customFormat="1" ht="10.8" thickBot="1" x14ac:dyDescent="0.3">
      <c r="B157" s="156">
        <v>88264</v>
      </c>
      <c r="C157" s="151" t="s">
        <v>1</v>
      </c>
      <c r="D157" s="84" t="s">
        <v>3</v>
      </c>
      <c r="E157" s="75" t="s">
        <v>2</v>
      </c>
      <c r="F157" s="140">
        <v>1</v>
      </c>
      <c r="G157" s="77">
        <v>0.17</v>
      </c>
      <c r="H157" s="139">
        <v>19.53</v>
      </c>
      <c r="I157" s="140">
        <f>F157*G157*H157</f>
        <v>3.3201000000000005</v>
      </c>
      <c r="L157" s="85"/>
    </row>
    <row r="158" spans="2:12" s="90" customFormat="1" ht="10.8" thickBot="1" x14ac:dyDescent="0.3">
      <c r="B158" s="328" t="s">
        <v>29</v>
      </c>
      <c r="C158" s="328"/>
      <c r="D158" s="328"/>
      <c r="E158" s="328"/>
      <c r="F158" s="328"/>
      <c r="G158" s="328"/>
      <c r="H158" s="328"/>
      <c r="I158" s="296">
        <f>SUM(I154:I157)</f>
        <v>88.114399999999989</v>
      </c>
      <c r="L158" s="85"/>
    </row>
    <row r="159" spans="2:12" s="90" customFormat="1" ht="10.199999999999999" x14ac:dyDescent="0.25">
      <c r="B159" s="166"/>
      <c r="C159" s="223" t="s">
        <v>30</v>
      </c>
      <c r="D159" s="90" t="s">
        <v>124</v>
      </c>
      <c r="E159" s="75"/>
      <c r="F159" s="75"/>
      <c r="G159" s="85"/>
      <c r="H159" s="139"/>
      <c r="I159" s="291"/>
      <c r="L159" s="85"/>
    </row>
    <row r="160" spans="2:12" s="90" customFormat="1" ht="10.199999999999999" x14ac:dyDescent="0.25">
      <c r="B160" s="166"/>
      <c r="C160" s="223"/>
      <c r="E160" s="75"/>
      <c r="F160" s="75"/>
      <c r="G160" s="85"/>
      <c r="H160" s="139"/>
      <c r="I160" s="294"/>
      <c r="L160" s="85"/>
    </row>
    <row r="161" spans="2:12" s="90" customFormat="1" ht="12" customHeight="1" thickBot="1" x14ac:dyDescent="0.3">
      <c r="B161" s="166"/>
      <c r="C161" s="223"/>
      <c r="E161" s="75"/>
      <c r="F161" s="75"/>
      <c r="G161" s="85"/>
      <c r="H161" s="139"/>
      <c r="I161" s="294"/>
      <c r="L161" s="85"/>
    </row>
    <row r="162" spans="2:12" ht="14.4" thickBot="1" x14ac:dyDescent="0.3">
      <c r="B162" s="330" t="s">
        <v>18</v>
      </c>
      <c r="C162" s="330"/>
      <c r="D162" s="331" t="s">
        <v>19</v>
      </c>
      <c r="E162" s="331"/>
      <c r="F162" s="331"/>
      <c r="G162" s="331"/>
      <c r="H162" s="331"/>
      <c r="I162" s="291" t="s">
        <v>20</v>
      </c>
    </row>
    <row r="163" spans="2:12" ht="14.4" thickBot="1" x14ac:dyDescent="0.3">
      <c r="B163" s="329" t="s">
        <v>128</v>
      </c>
      <c r="C163" s="329"/>
      <c r="D163" s="332" t="s">
        <v>138</v>
      </c>
      <c r="E163" s="332"/>
      <c r="F163" s="332"/>
      <c r="G163" s="332"/>
      <c r="H163" s="332"/>
      <c r="I163" s="293" t="s">
        <v>8</v>
      </c>
    </row>
    <row r="164" spans="2:12" ht="14.4" thickBot="1" x14ac:dyDescent="0.3">
      <c r="B164" s="328" t="s">
        <v>21</v>
      </c>
      <c r="C164" s="328"/>
      <c r="D164" s="141"/>
      <c r="E164" s="82" t="s">
        <v>22</v>
      </c>
      <c r="F164" s="82" t="s">
        <v>23</v>
      </c>
      <c r="G164" s="88" t="s">
        <v>24</v>
      </c>
      <c r="H164" s="89" t="s">
        <v>25</v>
      </c>
      <c r="I164" s="226" t="s">
        <v>26</v>
      </c>
    </row>
    <row r="165" spans="2:12" ht="14.4" thickBot="1" x14ac:dyDescent="0.3">
      <c r="B165" s="156">
        <v>4120</v>
      </c>
      <c r="C165" s="151" t="s">
        <v>9</v>
      </c>
      <c r="D165" s="84" t="s">
        <v>126</v>
      </c>
      <c r="E165" s="75" t="s">
        <v>8</v>
      </c>
      <c r="F165" s="140">
        <v>1</v>
      </c>
      <c r="G165" s="77">
        <v>1.02</v>
      </c>
      <c r="H165" s="139">
        <v>113.02</v>
      </c>
      <c r="I165" s="140">
        <f>F165*G165*H165</f>
        <v>115.2804</v>
      </c>
    </row>
    <row r="166" spans="2:12" ht="14.4" thickBot="1" x14ac:dyDescent="0.3">
      <c r="B166" s="328" t="s">
        <v>28</v>
      </c>
      <c r="C166" s="328"/>
      <c r="D166" s="141"/>
      <c r="E166" s="82" t="s">
        <v>22</v>
      </c>
      <c r="F166" s="82" t="s">
        <v>23</v>
      </c>
      <c r="G166" s="88" t="s">
        <v>24</v>
      </c>
      <c r="H166" s="89" t="s">
        <v>25</v>
      </c>
      <c r="I166" s="226" t="s">
        <v>26</v>
      </c>
    </row>
    <row r="167" spans="2:12" x14ac:dyDescent="0.25">
      <c r="B167" s="156">
        <v>88247</v>
      </c>
      <c r="C167" s="151" t="s">
        <v>1</v>
      </c>
      <c r="D167" s="84" t="s">
        <v>95</v>
      </c>
      <c r="E167" s="75" t="s">
        <v>2</v>
      </c>
      <c r="F167" s="140">
        <v>1</v>
      </c>
      <c r="G167" s="77">
        <v>0.36</v>
      </c>
      <c r="H167" s="139">
        <v>15.19</v>
      </c>
      <c r="I167" s="140">
        <f>F167*G167*H167</f>
        <v>5.4683999999999999</v>
      </c>
    </row>
    <row r="168" spans="2:12" ht="14.4" thickBot="1" x14ac:dyDescent="0.3">
      <c r="B168" s="156">
        <v>88264</v>
      </c>
      <c r="C168" s="151" t="s">
        <v>1</v>
      </c>
      <c r="D168" s="84" t="s">
        <v>3</v>
      </c>
      <c r="E168" s="75" t="s">
        <v>2</v>
      </c>
      <c r="F168" s="140">
        <v>1</v>
      </c>
      <c r="G168" s="77">
        <v>0.36</v>
      </c>
      <c r="H168" s="139">
        <v>19.53</v>
      </c>
      <c r="I168" s="140">
        <f>F168*G168*H168</f>
        <v>7.0308000000000002</v>
      </c>
    </row>
    <row r="169" spans="2:12" ht="14.4" thickBot="1" x14ac:dyDescent="0.3">
      <c r="B169" s="328" t="s">
        <v>29</v>
      </c>
      <c r="C169" s="328"/>
      <c r="D169" s="328"/>
      <c r="E169" s="328"/>
      <c r="F169" s="328"/>
      <c r="G169" s="328"/>
      <c r="H169" s="328"/>
      <c r="I169" s="296">
        <f>SUM(I165:I168)</f>
        <v>127.7796</v>
      </c>
    </row>
    <row r="170" spans="2:12" s="90" customFormat="1" ht="10.199999999999999" x14ac:dyDescent="0.25">
      <c r="B170" s="166"/>
      <c r="C170" s="223" t="s">
        <v>30</v>
      </c>
      <c r="D170" s="90" t="s">
        <v>127</v>
      </c>
      <c r="E170" s="75"/>
      <c r="F170" s="75"/>
      <c r="G170" s="85"/>
      <c r="H170" s="139"/>
      <c r="I170" s="291"/>
      <c r="L170" s="85"/>
    </row>
    <row r="171" spans="2:12" s="90" customFormat="1" ht="10.199999999999999" x14ac:dyDescent="0.25">
      <c r="B171" s="166"/>
      <c r="C171" s="223"/>
      <c r="E171" s="75"/>
      <c r="F171" s="75"/>
      <c r="G171" s="85"/>
      <c r="H171" s="139"/>
      <c r="I171" s="294"/>
      <c r="L171" s="85"/>
    </row>
    <row r="172" spans="2:12" s="90" customFormat="1" ht="10.8" thickBot="1" x14ac:dyDescent="0.3">
      <c r="B172" s="166"/>
      <c r="C172" s="223"/>
      <c r="E172" s="75"/>
      <c r="F172" s="75"/>
      <c r="G172" s="85"/>
      <c r="H172" s="139"/>
      <c r="I172" s="294"/>
      <c r="L172" s="85"/>
    </row>
    <row r="173" spans="2:12" s="90" customFormat="1" ht="10.8" thickBot="1" x14ac:dyDescent="0.3">
      <c r="B173" s="330" t="s">
        <v>18</v>
      </c>
      <c r="C173" s="330"/>
      <c r="D173" s="331" t="s">
        <v>19</v>
      </c>
      <c r="E173" s="331"/>
      <c r="F173" s="331"/>
      <c r="G173" s="331"/>
      <c r="H173" s="331"/>
      <c r="I173" s="291" t="s">
        <v>20</v>
      </c>
      <c r="L173" s="85"/>
    </row>
    <row r="174" spans="2:12" s="90" customFormat="1" ht="10.8" thickBot="1" x14ac:dyDescent="0.3">
      <c r="B174" s="329" t="s">
        <v>130</v>
      </c>
      <c r="C174" s="329"/>
      <c r="D174" s="332" t="s">
        <v>882</v>
      </c>
      <c r="E174" s="332"/>
      <c r="F174" s="332"/>
      <c r="G174" s="332"/>
      <c r="H174" s="332"/>
      <c r="I174" s="293" t="s">
        <v>8</v>
      </c>
      <c r="L174" s="85"/>
    </row>
    <row r="175" spans="2:12" s="90" customFormat="1" ht="10.8" thickBot="1" x14ac:dyDescent="0.3">
      <c r="B175" s="328" t="s">
        <v>21</v>
      </c>
      <c r="C175" s="328"/>
      <c r="D175" s="141"/>
      <c r="E175" s="82" t="s">
        <v>22</v>
      </c>
      <c r="F175" s="82" t="s">
        <v>23</v>
      </c>
      <c r="G175" s="88" t="s">
        <v>24</v>
      </c>
      <c r="H175" s="89" t="s">
        <v>25</v>
      </c>
      <c r="I175" s="226" t="s">
        <v>26</v>
      </c>
      <c r="L175" s="85"/>
    </row>
    <row r="176" spans="2:12" s="90" customFormat="1" ht="10.8" thickBot="1" x14ac:dyDescent="0.3">
      <c r="B176" s="156"/>
      <c r="C176" s="151" t="s">
        <v>206</v>
      </c>
      <c r="D176" s="84" t="s">
        <v>883</v>
      </c>
      <c r="E176" s="75" t="s">
        <v>8</v>
      </c>
      <c r="F176" s="140">
        <v>1</v>
      </c>
      <c r="G176" s="77">
        <v>1.02</v>
      </c>
      <c r="H176" s="139">
        <v>121.6</v>
      </c>
      <c r="I176" s="140">
        <f>F176*G176*H176</f>
        <v>124.032</v>
      </c>
      <c r="L176" s="85"/>
    </row>
    <row r="177" spans="2:12" s="90" customFormat="1" ht="10.8" thickBot="1" x14ac:dyDescent="0.3">
      <c r="B177" s="328" t="s">
        <v>28</v>
      </c>
      <c r="C177" s="328"/>
      <c r="D177" s="141"/>
      <c r="E177" s="82" t="s">
        <v>22</v>
      </c>
      <c r="F177" s="82" t="s">
        <v>23</v>
      </c>
      <c r="G177" s="88" t="s">
        <v>24</v>
      </c>
      <c r="H177" s="89" t="s">
        <v>25</v>
      </c>
      <c r="I177" s="226" t="s">
        <v>26</v>
      </c>
      <c r="L177" s="85"/>
    </row>
    <row r="178" spans="2:12" s="90" customFormat="1" ht="10.199999999999999" x14ac:dyDescent="0.25">
      <c r="B178" s="156">
        <v>88247</v>
      </c>
      <c r="C178" s="151" t="s">
        <v>1</v>
      </c>
      <c r="D178" s="84" t="s">
        <v>95</v>
      </c>
      <c r="E178" s="75" t="s">
        <v>2</v>
      </c>
      <c r="F178" s="140">
        <v>1</v>
      </c>
      <c r="G178" s="77">
        <v>0.36</v>
      </c>
      <c r="H178" s="139">
        <v>15.19</v>
      </c>
      <c r="I178" s="140">
        <f>F178*G178*H178</f>
        <v>5.4683999999999999</v>
      </c>
      <c r="L178" s="85"/>
    </row>
    <row r="179" spans="2:12" s="90" customFormat="1" ht="10.8" thickBot="1" x14ac:dyDescent="0.3">
      <c r="B179" s="156">
        <v>88264</v>
      </c>
      <c r="C179" s="151" t="s">
        <v>1</v>
      </c>
      <c r="D179" s="84" t="s">
        <v>3</v>
      </c>
      <c r="E179" s="75" t="s">
        <v>2</v>
      </c>
      <c r="F179" s="140">
        <v>1</v>
      </c>
      <c r="G179" s="77">
        <v>0.36</v>
      </c>
      <c r="H179" s="139">
        <v>19.53</v>
      </c>
      <c r="I179" s="140">
        <f>F179*G179*H179</f>
        <v>7.0308000000000002</v>
      </c>
      <c r="L179" s="85"/>
    </row>
    <row r="180" spans="2:12" s="90" customFormat="1" ht="10.8" thickBot="1" x14ac:dyDescent="0.3">
      <c r="B180" s="328" t="s">
        <v>29</v>
      </c>
      <c r="C180" s="328"/>
      <c r="D180" s="328"/>
      <c r="E180" s="328"/>
      <c r="F180" s="328"/>
      <c r="G180" s="328"/>
      <c r="H180" s="328"/>
      <c r="I180" s="296">
        <f>SUM(I176:I179)</f>
        <v>136.53119999999998</v>
      </c>
      <c r="L180" s="85"/>
    </row>
    <row r="181" spans="2:12" s="90" customFormat="1" ht="10.199999999999999" x14ac:dyDescent="0.25">
      <c r="B181" s="166"/>
      <c r="C181" s="223" t="s">
        <v>30</v>
      </c>
      <c r="D181" s="90" t="s">
        <v>127</v>
      </c>
      <c r="E181" s="75"/>
      <c r="F181" s="75"/>
      <c r="G181" s="85"/>
      <c r="H181" s="139"/>
      <c r="I181" s="291"/>
      <c r="L181" s="85"/>
    </row>
    <row r="182" spans="2:12" s="90" customFormat="1" ht="10.199999999999999" x14ac:dyDescent="0.25">
      <c r="B182" s="166"/>
      <c r="C182" s="223"/>
      <c r="E182" s="75"/>
      <c r="F182" s="75"/>
      <c r="G182" s="85"/>
      <c r="H182" s="139"/>
      <c r="I182" s="294"/>
      <c r="L182" s="85"/>
    </row>
    <row r="183" spans="2:12" s="90" customFormat="1" ht="10.8" thickBot="1" x14ac:dyDescent="0.3">
      <c r="B183" s="166"/>
      <c r="C183" s="223"/>
      <c r="E183" s="75"/>
      <c r="F183" s="75"/>
      <c r="G183" s="85"/>
      <c r="H183" s="139"/>
      <c r="I183" s="294"/>
      <c r="L183" s="85"/>
    </row>
    <row r="184" spans="2:12" ht="14.4" thickBot="1" x14ac:dyDescent="0.3">
      <c r="B184" s="330" t="s">
        <v>18</v>
      </c>
      <c r="C184" s="330"/>
      <c r="D184" s="331" t="s">
        <v>19</v>
      </c>
      <c r="E184" s="331"/>
      <c r="F184" s="331"/>
      <c r="G184" s="331"/>
      <c r="H184" s="331"/>
      <c r="I184" s="291" t="s">
        <v>20</v>
      </c>
    </row>
    <row r="185" spans="2:12" ht="14.4" thickBot="1" x14ac:dyDescent="0.3">
      <c r="B185" s="329" t="s">
        <v>131</v>
      </c>
      <c r="C185" s="329"/>
      <c r="D185" s="332" t="s">
        <v>884</v>
      </c>
      <c r="E185" s="332"/>
      <c r="F185" s="332"/>
      <c r="G185" s="332"/>
      <c r="H185" s="332"/>
      <c r="I185" s="293" t="s">
        <v>8</v>
      </c>
    </row>
    <row r="186" spans="2:12" ht="14.4" thickBot="1" x14ac:dyDescent="0.3">
      <c r="B186" s="328" t="s">
        <v>21</v>
      </c>
      <c r="C186" s="328"/>
      <c r="D186" s="141"/>
      <c r="E186" s="82" t="s">
        <v>22</v>
      </c>
      <c r="F186" s="82" t="s">
        <v>23</v>
      </c>
      <c r="G186" s="88" t="s">
        <v>24</v>
      </c>
      <c r="H186" s="89" t="s">
        <v>25</v>
      </c>
      <c r="I186" s="226" t="s">
        <v>26</v>
      </c>
    </row>
    <row r="187" spans="2:12" ht="14.4" thickBot="1" x14ac:dyDescent="0.3">
      <c r="B187" s="156">
        <v>4124</v>
      </c>
      <c r="C187" s="151" t="s">
        <v>9</v>
      </c>
      <c r="D187" s="84" t="s">
        <v>885</v>
      </c>
      <c r="E187" s="75" t="s">
        <v>8</v>
      </c>
      <c r="F187" s="140">
        <v>1</v>
      </c>
      <c r="G187" s="77">
        <v>1.02</v>
      </c>
      <c r="H187" s="139">
        <v>155.6</v>
      </c>
      <c r="I187" s="140">
        <f>F187*G187*H187</f>
        <v>158.71199999999999</v>
      </c>
    </row>
    <row r="188" spans="2:12" ht="14.4" thickBot="1" x14ac:dyDescent="0.3">
      <c r="B188" s="328" t="s">
        <v>28</v>
      </c>
      <c r="C188" s="328"/>
      <c r="D188" s="141"/>
      <c r="E188" s="82" t="s">
        <v>22</v>
      </c>
      <c r="F188" s="82" t="s">
        <v>23</v>
      </c>
      <c r="G188" s="88" t="s">
        <v>24</v>
      </c>
      <c r="H188" s="89" t="s">
        <v>25</v>
      </c>
      <c r="I188" s="226" t="s">
        <v>26</v>
      </c>
    </row>
    <row r="189" spans="2:12" x14ac:dyDescent="0.25">
      <c r="B189" s="156">
        <v>88247</v>
      </c>
      <c r="C189" s="151" t="s">
        <v>1</v>
      </c>
      <c r="D189" s="84" t="s">
        <v>95</v>
      </c>
      <c r="E189" s="75" t="s">
        <v>2</v>
      </c>
      <c r="F189" s="140">
        <v>1</v>
      </c>
      <c r="G189" s="77">
        <v>0.74</v>
      </c>
      <c r="H189" s="139">
        <v>15.19</v>
      </c>
      <c r="I189" s="140">
        <f>F189*G189*H189</f>
        <v>11.240599999999999</v>
      </c>
    </row>
    <row r="190" spans="2:12" ht="14.4" thickBot="1" x14ac:dyDescent="0.3">
      <c r="B190" s="156">
        <v>88264</v>
      </c>
      <c r="C190" s="151" t="s">
        <v>1</v>
      </c>
      <c r="D190" s="84" t="s">
        <v>3</v>
      </c>
      <c r="E190" s="75" t="s">
        <v>2</v>
      </c>
      <c r="F190" s="140">
        <v>1</v>
      </c>
      <c r="G190" s="77">
        <v>0.74</v>
      </c>
      <c r="H190" s="139">
        <v>19.53</v>
      </c>
      <c r="I190" s="140">
        <f>F190*G190*H190</f>
        <v>14.452200000000001</v>
      </c>
    </row>
    <row r="191" spans="2:12" ht="14.4" thickBot="1" x14ac:dyDescent="0.3">
      <c r="B191" s="328" t="s">
        <v>29</v>
      </c>
      <c r="C191" s="328"/>
      <c r="D191" s="328"/>
      <c r="E191" s="328"/>
      <c r="F191" s="328"/>
      <c r="G191" s="328"/>
      <c r="H191" s="328"/>
      <c r="I191" s="296">
        <f>SUM(I187:I190)</f>
        <v>184.40479999999999</v>
      </c>
    </row>
    <row r="192" spans="2:12" s="90" customFormat="1" ht="10.199999999999999" x14ac:dyDescent="0.25">
      <c r="B192" s="166"/>
      <c r="C192" s="223" t="s">
        <v>30</v>
      </c>
      <c r="D192" s="90" t="s">
        <v>129</v>
      </c>
      <c r="E192" s="75"/>
      <c r="F192" s="75"/>
      <c r="G192" s="85"/>
      <c r="H192" s="139"/>
      <c r="I192" s="291"/>
      <c r="L192" s="85"/>
    </row>
    <row r="193" spans="2:12" s="90" customFormat="1" ht="10.199999999999999" x14ac:dyDescent="0.25">
      <c r="B193" s="166"/>
      <c r="C193" s="223"/>
      <c r="E193" s="75"/>
      <c r="F193" s="75"/>
      <c r="G193" s="85"/>
      <c r="H193" s="139"/>
      <c r="I193" s="294"/>
      <c r="L193" s="85"/>
    </row>
    <row r="194" spans="2:12" s="90" customFormat="1" ht="10.8" thickBot="1" x14ac:dyDescent="0.3">
      <c r="B194" s="166"/>
      <c r="C194" s="223"/>
      <c r="E194" s="75"/>
      <c r="F194" s="75"/>
      <c r="G194" s="85"/>
      <c r="H194" s="139"/>
      <c r="I194" s="294"/>
      <c r="L194" s="85"/>
    </row>
    <row r="195" spans="2:12" s="90" customFormat="1" ht="10.8" thickBot="1" x14ac:dyDescent="0.3">
      <c r="B195" s="330" t="s">
        <v>18</v>
      </c>
      <c r="C195" s="330"/>
      <c r="D195" s="331" t="s">
        <v>19</v>
      </c>
      <c r="E195" s="331"/>
      <c r="F195" s="331"/>
      <c r="G195" s="331"/>
      <c r="H195" s="331"/>
      <c r="I195" s="291" t="s">
        <v>20</v>
      </c>
      <c r="L195" s="85"/>
    </row>
    <row r="196" spans="2:12" s="90" customFormat="1" ht="10.8" thickBot="1" x14ac:dyDescent="0.3">
      <c r="B196" s="329" t="s">
        <v>132</v>
      </c>
      <c r="C196" s="329"/>
      <c r="D196" s="332" t="s">
        <v>886</v>
      </c>
      <c r="E196" s="332"/>
      <c r="F196" s="332"/>
      <c r="G196" s="332"/>
      <c r="H196" s="332"/>
      <c r="I196" s="293" t="s">
        <v>8</v>
      </c>
      <c r="L196" s="85"/>
    </row>
    <row r="197" spans="2:12" s="90" customFormat="1" ht="10.8" thickBot="1" x14ac:dyDescent="0.3">
      <c r="B197" s="328" t="s">
        <v>21</v>
      </c>
      <c r="C197" s="328"/>
      <c r="D197" s="141"/>
      <c r="E197" s="82" t="s">
        <v>22</v>
      </c>
      <c r="F197" s="82" t="s">
        <v>23</v>
      </c>
      <c r="G197" s="88" t="s">
        <v>24</v>
      </c>
      <c r="H197" s="89" t="s">
        <v>25</v>
      </c>
      <c r="I197" s="226" t="s">
        <v>26</v>
      </c>
      <c r="L197" s="85"/>
    </row>
    <row r="198" spans="2:12" s="90" customFormat="1" ht="10.8" thickBot="1" x14ac:dyDescent="0.3">
      <c r="B198" s="156">
        <v>4123</v>
      </c>
      <c r="C198" s="151" t="s">
        <v>9</v>
      </c>
      <c r="D198" s="84" t="s">
        <v>887</v>
      </c>
      <c r="E198" s="75" t="s">
        <v>8</v>
      </c>
      <c r="F198" s="140">
        <v>1</v>
      </c>
      <c r="G198" s="77">
        <v>1.02</v>
      </c>
      <c r="H198" s="139">
        <v>266.8</v>
      </c>
      <c r="I198" s="140">
        <f>F198*G198*H198</f>
        <v>272.13600000000002</v>
      </c>
      <c r="L198" s="85"/>
    </row>
    <row r="199" spans="2:12" s="90" customFormat="1" ht="10.8" thickBot="1" x14ac:dyDescent="0.3">
      <c r="B199" s="328" t="s">
        <v>28</v>
      </c>
      <c r="C199" s="328"/>
      <c r="D199" s="141"/>
      <c r="E199" s="82" t="s">
        <v>22</v>
      </c>
      <c r="F199" s="82" t="s">
        <v>23</v>
      </c>
      <c r="G199" s="88" t="s">
        <v>24</v>
      </c>
      <c r="H199" s="89" t="s">
        <v>25</v>
      </c>
      <c r="I199" s="226" t="s">
        <v>26</v>
      </c>
      <c r="L199" s="85"/>
    </row>
    <row r="200" spans="2:12" s="90" customFormat="1" ht="10.199999999999999" x14ac:dyDescent="0.25">
      <c r="B200" s="156">
        <v>88247</v>
      </c>
      <c r="C200" s="151" t="s">
        <v>1</v>
      </c>
      <c r="D200" s="84" t="s">
        <v>95</v>
      </c>
      <c r="E200" s="75" t="s">
        <v>2</v>
      </c>
      <c r="F200" s="140">
        <v>1</v>
      </c>
      <c r="G200" s="77">
        <v>0.74</v>
      </c>
      <c r="H200" s="139">
        <v>15.19</v>
      </c>
      <c r="I200" s="140">
        <f>F200*G200*H200</f>
        <v>11.240599999999999</v>
      </c>
      <c r="L200" s="85"/>
    </row>
    <row r="201" spans="2:12" s="90" customFormat="1" ht="10.8" thickBot="1" x14ac:dyDescent="0.3">
      <c r="B201" s="156">
        <v>88264</v>
      </c>
      <c r="C201" s="151" t="s">
        <v>1</v>
      </c>
      <c r="D201" s="84" t="s">
        <v>3</v>
      </c>
      <c r="E201" s="75" t="s">
        <v>2</v>
      </c>
      <c r="F201" s="140">
        <v>1</v>
      </c>
      <c r="G201" s="77">
        <v>0.74</v>
      </c>
      <c r="H201" s="139">
        <v>19.53</v>
      </c>
      <c r="I201" s="140">
        <f>F201*G201*H201</f>
        <v>14.452200000000001</v>
      </c>
      <c r="L201" s="85"/>
    </row>
    <row r="202" spans="2:12" s="90" customFormat="1" ht="10.8" thickBot="1" x14ac:dyDescent="0.3">
      <c r="B202" s="328" t="s">
        <v>29</v>
      </c>
      <c r="C202" s="328"/>
      <c r="D202" s="328"/>
      <c r="E202" s="328"/>
      <c r="F202" s="328"/>
      <c r="G202" s="328"/>
      <c r="H202" s="328"/>
      <c r="I202" s="296">
        <f>SUM(I198:I201)</f>
        <v>297.8288</v>
      </c>
      <c r="L202" s="85"/>
    </row>
    <row r="203" spans="2:12" s="90" customFormat="1" ht="10.199999999999999" x14ac:dyDescent="0.25">
      <c r="B203" s="166"/>
      <c r="C203" s="223" t="s">
        <v>30</v>
      </c>
      <c r="D203" s="90" t="s">
        <v>129</v>
      </c>
      <c r="E203" s="75"/>
      <c r="F203" s="75"/>
      <c r="G203" s="85"/>
      <c r="H203" s="139"/>
      <c r="I203" s="291"/>
      <c r="L203" s="85"/>
    </row>
    <row r="204" spans="2:12" s="90" customFormat="1" ht="10.199999999999999" x14ac:dyDescent="0.25">
      <c r="B204" s="166"/>
      <c r="C204" s="223"/>
      <c r="E204" s="75"/>
      <c r="F204" s="75"/>
      <c r="G204" s="85"/>
      <c r="H204" s="139"/>
      <c r="I204" s="294"/>
      <c r="L204" s="85"/>
    </row>
    <row r="205" spans="2:12" s="90" customFormat="1" ht="10.8" thickBot="1" x14ac:dyDescent="0.3">
      <c r="B205" s="166"/>
      <c r="C205" s="223"/>
      <c r="E205" s="75"/>
      <c r="F205" s="75"/>
      <c r="G205" s="85"/>
      <c r="H205" s="139"/>
      <c r="I205" s="294"/>
      <c r="L205" s="85"/>
    </row>
    <row r="206" spans="2:12" ht="14.4" thickBot="1" x14ac:dyDescent="0.3">
      <c r="B206" s="330" t="s">
        <v>18</v>
      </c>
      <c r="C206" s="330"/>
      <c r="D206" s="331" t="s">
        <v>19</v>
      </c>
      <c r="E206" s="331"/>
      <c r="F206" s="331"/>
      <c r="G206" s="331"/>
      <c r="H206" s="331"/>
      <c r="I206" s="291" t="s">
        <v>20</v>
      </c>
    </row>
    <row r="207" spans="2:12" ht="14.4" thickBot="1" x14ac:dyDescent="0.3">
      <c r="B207" s="329" t="s">
        <v>133</v>
      </c>
      <c r="C207" s="329"/>
      <c r="D207" s="332" t="s">
        <v>135</v>
      </c>
      <c r="E207" s="332"/>
      <c r="F207" s="332"/>
      <c r="G207" s="332"/>
      <c r="H207" s="332"/>
      <c r="I207" s="293" t="s">
        <v>472</v>
      </c>
    </row>
    <row r="208" spans="2:12" ht="14.4" thickBot="1" x14ac:dyDescent="0.3">
      <c r="B208" s="328" t="s">
        <v>21</v>
      </c>
      <c r="C208" s="328"/>
      <c r="D208" s="141"/>
      <c r="E208" s="82" t="s">
        <v>22</v>
      </c>
      <c r="F208" s="82" t="s">
        <v>23</v>
      </c>
      <c r="G208" s="88" t="s">
        <v>24</v>
      </c>
      <c r="H208" s="89" t="s">
        <v>25</v>
      </c>
      <c r="I208" s="226" t="s">
        <v>26</v>
      </c>
    </row>
    <row r="209" spans="2:18" ht="14.4" thickBot="1" x14ac:dyDescent="0.3">
      <c r="B209" s="166" t="s">
        <v>108</v>
      </c>
      <c r="C209" s="151" t="s">
        <v>9</v>
      </c>
      <c r="D209" s="84" t="s">
        <v>107</v>
      </c>
      <c r="E209" s="75" t="s">
        <v>22</v>
      </c>
      <c r="F209" s="140">
        <v>1</v>
      </c>
      <c r="G209" s="77">
        <v>1</v>
      </c>
      <c r="H209" s="139">
        <v>13</v>
      </c>
      <c r="I209" s="140">
        <f>F209*G209*H209</f>
        <v>13</v>
      </c>
    </row>
    <row r="210" spans="2:18" ht="14.4" thickBot="1" x14ac:dyDescent="0.3">
      <c r="B210" s="328" t="s">
        <v>28</v>
      </c>
      <c r="C210" s="328"/>
      <c r="D210" s="141"/>
      <c r="E210" s="82" t="s">
        <v>22</v>
      </c>
      <c r="F210" s="82" t="s">
        <v>23</v>
      </c>
      <c r="G210" s="88" t="s">
        <v>24</v>
      </c>
      <c r="H210" s="89" t="s">
        <v>25</v>
      </c>
      <c r="I210" s="226" t="s">
        <v>26</v>
      </c>
    </row>
    <row r="211" spans="2:18" x14ac:dyDescent="0.25">
      <c r="B211" s="156">
        <v>88247</v>
      </c>
      <c r="C211" s="151" t="s">
        <v>1</v>
      </c>
      <c r="D211" s="84" t="s">
        <v>95</v>
      </c>
      <c r="E211" s="75" t="s">
        <v>2</v>
      </c>
      <c r="F211" s="140">
        <v>1</v>
      </c>
      <c r="G211" s="77">
        <v>0.3</v>
      </c>
      <c r="H211" s="139">
        <v>15.19</v>
      </c>
      <c r="I211" s="140">
        <f>F211*G211*H211</f>
        <v>4.5569999999999995</v>
      </c>
    </row>
    <row r="212" spans="2:18" ht="14.4" thickBot="1" x14ac:dyDescent="0.3">
      <c r="B212" s="156">
        <v>88264</v>
      </c>
      <c r="C212" s="151" t="s">
        <v>1</v>
      </c>
      <c r="D212" s="84" t="s">
        <v>3</v>
      </c>
      <c r="E212" s="75" t="s">
        <v>2</v>
      </c>
      <c r="F212" s="140">
        <v>1</v>
      </c>
      <c r="G212" s="77">
        <v>0.3</v>
      </c>
      <c r="H212" s="139">
        <v>19.53</v>
      </c>
      <c r="I212" s="140">
        <f>F212*G212*H212</f>
        <v>5.859</v>
      </c>
    </row>
    <row r="213" spans="2:18" ht="14.4" thickBot="1" x14ac:dyDescent="0.3">
      <c r="B213" s="328" t="s">
        <v>29</v>
      </c>
      <c r="C213" s="328"/>
      <c r="D213" s="328"/>
      <c r="E213" s="328"/>
      <c r="F213" s="328"/>
      <c r="G213" s="328"/>
      <c r="H213" s="328"/>
      <c r="I213" s="296">
        <f>SUM(I209:I212)</f>
        <v>23.415999999999997</v>
      </c>
    </row>
    <row r="214" spans="2:18" s="90" customFormat="1" ht="10.199999999999999" x14ac:dyDescent="0.25">
      <c r="B214" s="166"/>
      <c r="C214" s="223" t="s">
        <v>30</v>
      </c>
      <c r="D214" s="90" t="s">
        <v>106</v>
      </c>
      <c r="E214" s="75"/>
      <c r="F214" s="75"/>
      <c r="G214" s="85"/>
      <c r="H214" s="139"/>
      <c r="I214" s="291"/>
      <c r="L214" s="85"/>
    </row>
    <row r="215" spans="2:18" s="90" customFormat="1" ht="10.199999999999999" x14ac:dyDescent="0.25">
      <c r="B215" s="166"/>
      <c r="C215" s="223"/>
      <c r="E215" s="75"/>
      <c r="F215" s="75"/>
      <c r="G215" s="85"/>
      <c r="H215" s="139"/>
      <c r="I215" s="294"/>
      <c r="L215" s="85"/>
    </row>
    <row r="216" spans="2:18" s="90" customFormat="1" ht="10.8" thickBot="1" x14ac:dyDescent="0.3">
      <c r="B216" s="166"/>
      <c r="C216" s="223"/>
      <c r="E216" s="75"/>
      <c r="F216" s="75"/>
      <c r="G216" s="85"/>
      <c r="H216" s="139"/>
      <c r="I216" s="294"/>
      <c r="L216" s="85"/>
    </row>
    <row r="217" spans="2:18" ht="14.4" thickBot="1" x14ac:dyDescent="0.3">
      <c r="B217" s="330" t="s">
        <v>18</v>
      </c>
      <c r="C217" s="330"/>
      <c r="D217" s="331" t="s">
        <v>19</v>
      </c>
      <c r="E217" s="331"/>
      <c r="F217" s="331"/>
      <c r="G217" s="331"/>
      <c r="H217" s="331"/>
      <c r="I217" s="291" t="s">
        <v>20</v>
      </c>
    </row>
    <row r="218" spans="2:18" ht="14.4" thickBot="1" x14ac:dyDescent="0.3">
      <c r="B218" s="329" t="s">
        <v>134</v>
      </c>
      <c r="C218" s="329"/>
      <c r="D218" s="332" t="s">
        <v>109</v>
      </c>
      <c r="E218" s="332"/>
      <c r="F218" s="332"/>
      <c r="G218" s="332"/>
      <c r="H218" s="332"/>
      <c r="I218" s="293" t="s">
        <v>472</v>
      </c>
      <c r="R218" s="69" t="s">
        <v>75</v>
      </c>
    </row>
    <row r="219" spans="2:18" ht="15" thickBot="1" x14ac:dyDescent="0.3">
      <c r="B219" s="328" t="s">
        <v>21</v>
      </c>
      <c r="C219" s="328"/>
      <c r="D219" s="141"/>
      <c r="E219" s="82" t="s">
        <v>22</v>
      </c>
      <c r="F219" s="82" t="s">
        <v>23</v>
      </c>
      <c r="G219" s="88" t="s">
        <v>24</v>
      </c>
      <c r="H219" s="89" t="s">
        <v>25</v>
      </c>
      <c r="I219" s="226" t="s">
        <v>26</v>
      </c>
      <c r="O219" s="145"/>
      <c r="P219" s="145"/>
      <c r="Q219" s="145"/>
      <c r="R219" s="145" t="s">
        <v>76</v>
      </c>
    </row>
    <row r="220" spans="2:18" x14ac:dyDescent="0.25">
      <c r="B220" s="156">
        <v>39346</v>
      </c>
      <c r="C220" s="151" t="s">
        <v>1</v>
      </c>
      <c r="D220" s="84" t="s">
        <v>96</v>
      </c>
      <c r="E220" s="75" t="s">
        <v>22</v>
      </c>
      <c r="F220" s="140">
        <v>1</v>
      </c>
      <c r="G220" s="77">
        <v>1</v>
      </c>
      <c r="H220" s="139">
        <v>3.1</v>
      </c>
      <c r="I220" s="140">
        <f>F220*G220*H220</f>
        <v>3.1</v>
      </c>
      <c r="R220" s="69" t="s">
        <v>77</v>
      </c>
    </row>
    <row r="221" spans="2:18" ht="14.4" thickBot="1" x14ac:dyDescent="0.3">
      <c r="B221" s="166">
        <v>38101</v>
      </c>
      <c r="C221" s="151" t="s">
        <v>1</v>
      </c>
      <c r="D221" s="84" t="s">
        <v>97</v>
      </c>
      <c r="E221" s="75" t="s">
        <v>22</v>
      </c>
      <c r="F221" s="140">
        <v>1</v>
      </c>
      <c r="G221" s="77">
        <v>1</v>
      </c>
      <c r="H221" s="139">
        <v>6.71</v>
      </c>
      <c r="I221" s="140">
        <f>F221*G221*H221</f>
        <v>6.71</v>
      </c>
      <c r="R221" s="69" t="s">
        <v>78</v>
      </c>
    </row>
    <row r="222" spans="2:18" ht="14.4" thickBot="1" x14ac:dyDescent="0.3">
      <c r="B222" s="328" t="s">
        <v>28</v>
      </c>
      <c r="C222" s="328"/>
      <c r="D222" s="141"/>
      <c r="E222" s="82" t="s">
        <v>22</v>
      </c>
      <c r="F222" s="82" t="s">
        <v>23</v>
      </c>
      <c r="G222" s="88" t="s">
        <v>24</v>
      </c>
      <c r="H222" s="89" t="s">
        <v>25</v>
      </c>
      <c r="I222" s="226" t="s">
        <v>26</v>
      </c>
    </row>
    <row r="223" spans="2:18" x14ac:dyDescent="0.25">
      <c r="B223" s="156">
        <v>88247</v>
      </c>
      <c r="C223" s="151" t="s">
        <v>1</v>
      </c>
      <c r="D223" s="84" t="s">
        <v>95</v>
      </c>
      <c r="E223" s="75" t="s">
        <v>2</v>
      </c>
      <c r="F223" s="140">
        <v>1</v>
      </c>
      <c r="G223" s="77">
        <v>0.15942000000000001</v>
      </c>
      <c r="H223" s="139">
        <v>15.19</v>
      </c>
      <c r="I223" s="140">
        <f>F223*G223*H223</f>
        <v>2.4215898</v>
      </c>
    </row>
    <row r="224" spans="2:18" ht="14.4" thickBot="1" x14ac:dyDescent="0.3">
      <c r="B224" s="156">
        <v>88264</v>
      </c>
      <c r="C224" s="151" t="s">
        <v>1</v>
      </c>
      <c r="D224" s="84" t="s">
        <v>3</v>
      </c>
      <c r="E224" s="75" t="s">
        <v>2</v>
      </c>
      <c r="F224" s="140">
        <v>1</v>
      </c>
      <c r="G224" s="77">
        <v>0.31884000000000001</v>
      </c>
      <c r="H224" s="139">
        <v>19.53</v>
      </c>
      <c r="I224" s="140">
        <f>F224*G224*H224</f>
        <v>6.2269452000000003</v>
      </c>
    </row>
    <row r="225" spans="2:12" ht="14.4" thickBot="1" x14ac:dyDescent="0.3">
      <c r="B225" s="328" t="s">
        <v>29</v>
      </c>
      <c r="C225" s="328"/>
      <c r="D225" s="328"/>
      <c r="E225" s="328"/>
      <c r="F225" s="328"/>
      <c r="G225" s="328"/>
      <c r="H225" s="328"/>
      <c r="I225" s="296">
        <f>SUM(I220:I224)</f>
        <v>18.458535000000001</v>
      </c>
    </row>
    <row r="226" spans="2:12" s="90" customFormat="1" ht="10.199999999999999" x14ac:dyDescent="0.25">
      <c r="B226" s="166"/>
      <c r="C226" s="223" t="s">
        <v>30</v>
      </c>
      <c r="D226" s="90" t="s">
        <v>100</v>
      </c>
      <c r="E226" s="75"/>
      <c r="F226" s="75"/>
      <c r="G226" s="85"/>
      <c r="H226" s="139"/>
      <c r="I226" s="291"/>
      <c r="L226" s="85"/>
    </row>
    <row r="227" spans="2:12" s="90" customFormat="1" ht="10.199999999999999" x14ac:dyDescent="0.25">
      <c r="B227" s="166"/>
      <c r="C227" s="223"/>
      <c r="E227" s="75"/>
      <c r="F227" s="75"/>
      <c r="G227" s="85"/>
      <c r="H227" s="139"/>
      <c r="I227" s="294"/>
      <c r="L227" s="85"/>
    </row>
    <row r="228" spans="2:12" s="90" customFormat="1" ht="10.8" thickBot="1" x14ac:dyDescent="0.3">
      <c r="B228" s="166"/>
      <c r="C228" s="223"/>
      <c r="E228" s="75"/>
      <c r="F228" s="75"/>
      <c r="G228" s="85"/>
      <c r="H228" s="139"/>
      <c r="I228" s="294"/>
      <c r="L228" s="85"/>
    </row>
    <row r="229" spans="2:12" ht="14.4" thickBot="1" x14ac:dyDescent="0.3">
      <c r="B229" s="330" t="s">
        <v>18</v>
      </c>
      <c r="C229" s="330"/>
      <c r="D229" s="331" t="s">
        <v>19</v>
      </c>
      <c r="E229" s="331"/>
      <c r="F229" s="331"/>
      <c r="G229" s="331"/>
      <c r="H229" s="331"/>
      <c r="I229" s="291" t="s">
        <v>20</v>
      </c>
    </row>
    <row r="230" spans="2:12" ht="14.4" thickBot="1" x14ac:dyDescent="0.3">
      <c r="B230" s="329" t="s">
        <v>139</v>
      </c>
      <c r="C230" s="329"/>
      <c r="D230" s="332" t="s">
        <v>110</v>
      </c>
      <c r="E230" s="332"/>
      <c r="F230" s="332"/>
      <c r="G230" s="332"/>
      <c r="H230" s="332"/>
      <c r="I230" s="293" t="s">
        <v>472</v>
      </c>
    </row>
    <row r="231" spans="2:12" ht="14.4" thickBot="1" x14ac:dyDescent="0.3">
      <c r="B231" s="328" t="s">
        <v>21</v>
      </c>
      <c r="C231" s="328"/>
      <c r="D231" s="141"/>
      <c r="E231" s="82" t="s">
        <v>22</v>
      </c>
      <c r="F231" s="82" t="s">
        <v>23</v>
      </c>
      <c r="G231" s="88" t="s">
        <v>24</v>
      </c>
      <c r="H231" s="89" t="s">
        <v>25</v>
      </c>
      <c r="I231" s="226" t="s">
        <v>26</v>
      </c>
    </row>
    <row r="232" spans="2:12" x14ac:dyDescent="0.25">
      <c r="B232" s="156">
        <v>39346</v>
      </c>
      <c r="C232" s="151" t="s">
        <v>1</v>
      </c>
      <c r="D232" s="84" t="s">
        <v>96</v>
      </c>
      <c r="E232" s="75" t="s">
        <v>22</v>
      </c>
      <c r="F232" s="140">
        <v>1</v>
      </c>
      <c r="G232" s="77">
        <v>1</v>
      </c>
      <c r="H232" s="139">
        <v>3.1</v>
      </c>
      <c r="I232" s="140">
        <f>F232*G232*H232</f>
        <v>3.1</v>
      </c>
    </row>
    <row r="233" spans="2:12" ht="14.4" thickBot="1" x14ac:dyDescent="0.3">
      <c r="B233" s="156">
        <v>38075</v>
      </c>
      <c r="C233" s="151" t="s">
        <v>1</v>
      </c>
      <c r="D233" s="84" t="s">
        <v>102</v>
      </c>
      <c r="E233" s="75" t="s">
        <v>22</v>
      </c>
      <c r="F233" s="140">
        <v>1</v>
      </c>
      <c r="G233" s="77">
        <v>1</v>
      </c>
      <c r="H233" s="139">
        <v>13.66</v>
      </c>
      <c r="I233" s="140">
        <f>F233*G233*H233</f>
        <v>13.66</v>
      </c>
    </row>
    <row r="234" spans="2:12" ht="14.4" thickBot="1" x14ac:dyDescent="0.3">
      <c r="B234" s="328" t="s">
        <v>28</v>
      </c>
      <c r="C234" s="328"/>
      <c r="D234" s="141"/>
      <c r="E234" s="82" t="s">
        <v>22</v>
      </c>
      <c r="F234" s="82" t="s">
        <v>23</v>
      </c>
      <c r="G234" s="88" t="s">
        <v>24</v>
      </c>
      <c r="H234" s="89" t="s">
        <v>25</v>
      </c>
      <c r="I234" s="226" t="s">
        <v>26</v>
      </c>
    </row>
    <row r="235" spans="2:12" x14ac:dyDescent="0.25">
      <c r="B235" s="156">
        <v>88247</v>
      </c>
      <c r="C235" s="151" t="s">
        <v>1</v>
      </c>
      <c r="D235" s="84" t="s">
        <v>95</v>
      </c>
      <c r="E235" s="75" t="s">
        <v>2</v>
      </c>
      <c r="F235" s="140">
        <v>1</v>
      </c>
      <c r="G235" s="77">
        <v>0.15942000000000001</v>
      </c>
      <c r="H235" s="139">
        <v>15.19</v>
      </c>
      <c r="I235" s="140">
        <f>F235*G235*H235</f>
        <v>2.4215898</v>
      </c>
    </row>
    <row r="236" spans="2:12" ht="14.4" thickBot="1" x14ac:dyDescent="0.3">
      <c r="B236" s="156">
        <v>88264</v>
      </c>
      <c r="C236" s="151" t="s">
        <v>1</v>
      </c>
      <c r="D236" s="84" t="s">
        <v>3</v>
      </c>
      <c r="E236" s="75" t="s">
        <v>2</v>
      </c>
      <c r="F236" s="140">
        <v>1</v>
      </c>
      <c r="G236" s="77">
        <v>0.31884000000000001</v>
      </c>
      <c r="H236" s="139">
        <v>19.53</v>
      </c>
      <c r="I236" s="140">
        <f>F236*G236*H236</f>
        <v>6.2269452000000003</v>
      </c>
    </row>
    <row r="237" spans="2:12" ht="14.4" thickBot="1" x14ac:dyDescent="0.3">
      <c r="B237" s="328" t="s">
        <v>29</v>
      </c>
      <c r="C237" s="328"/>
      <c r="D237" s="328"/>
      <c r="E237" s="328"/>
      <c r="F237" s="328"/>
      <c r="G237" s="328"/>
      <c r="H237" s="328"/>
      <c r="I237" s="296">
        <f>SUM(I232:I236)</f>
        <v>25.408535000000001</v>
      </c>
    </row>
    <row r="238" spans="2:12" s="90" customFormat="1" ht="10.199999999999999" x14ac:dyDescent="0.25">
      <c r="B238" s="166"/>
      <c r="C238" s="223" t="s">
        <v>30</v>
      </c>
      <c r="D238" s="90" t="s">
        <v>99</v>
      </c>
      <c r="E238" s="75"/>
      <c r="F238" s="75"/>
      <c r="G238" s="85"/>
      <c r="H238" s="139"/>
      <c r="I238" s="291"/>
      <c r="L238" s="85"/>
    </row>
    <row r="239" spans="2:12" s="90" customFormat="1" ht="10.199999999999999" x14ac:dyDescent="0.25">
      <c r="B239" s="166"/>
      <c r="C239" s="223"/>
      <c r="E239" s="75"/>
      <c r="F239" s="75"/>
      <c r="G239" s="85"/>
      <c r="H239" s="139"/>
      <c r="I239" s="294"/>
      <c r="L239" s="85"/>
    </row>
    <row r="240" spans="2:12" s="90" customFormat="1" ht="10.8" thickBot="1" x14ac:dyDescent="0.3">
      <c r="B240" s="166"/>
      <c r="C240" s="223"/>
      <c r="E240" s="75"/>
      <c r="F240" s="75"/>
      <c r="G240" s="85"/>
      <c r="H240" s="139"/>
      <c r="I240" s="294"/>
      <c r="L240" s="85"/>
    </row>
    <row r="241" spans="2:12" ht="14.4" thickBot="1" x14ac:dyDescent="0.3">
      <c r="B241" s="330" t="s">
        <v>18</v>
      </c>
      <c r="C241" s="330"/>
      <c r="D241" s="331" t="s">
        <v>19</v>
      </c>
      <c r="E241" s="331"/>
      <c r="F241" s="331"/>
      <c r="G241" s="331"/>
      <c r="H241" s="331"/>
      <c r="I241" s="291" t="s">
        <v>20</v>
      </c>
    </row>
    <row r="242" spans="2:12" ht="14.4" thickBot="1" x14ac:dyDescent="0.3">
      <c r="B242" s="329" t="s">
        <v>685</v>
      </c>
      <c r="C242" s="329"/>
      <c r="D242" s="332" t="s">
        <v>111</v>
      </c>
      <c r="E242" s="332"/>
      <c r="F242" s="332"/>
      <c r="G242" s="332"/>
      <c r="H242" s="332"/>
      <c r="I242" s="297" t="s">
        <v>472</v>
      </c>
    </row>
    <row r="243" spans="2:12" ht="14.4" thickBot="1" x14ac:dyDescent="0.3">
      <c r="B243" s="328" t="s">
        <v>21</v>
      </c>
      <c r="C243" s="328"/>
      <c r="D243" s="141"/>
      <c r="E243" s="82" t="s">
        <v>22</v>
      </c>
      <c r="F243" s="82" t="s">
        <v>23</v>
      </c>
      <c r="G243" s="88" t="s">
        <v>24</v>
      </c>
      <c r="H243" s="89" t="s">
        <v>25</v>
      </c>
      <c r="I243" s="226" t="s">
        <v>26</v>
      </c>
    </row>
    <row r="244" spans="2:12" x14ac:dyDescent="0.25">
      <c r="B244" s="156">
        <v>20111</v>
      </c>
      <c r="C244" s="151" t="s">
        <v>1</v>
      </c>
      <c r="D244" s="84" t="s">
        <v>112</v>
      </c>
      <c r="E244" s="75" t="s">
        <v>22</v>
      </c>
      <c r="F244" s="140">
        <v>1</v>
      </c>
      <c r="G244" s="77">
        <v>0.15</v>
      </c>
      <c r="H244" s="139">
        <v>10.45</v>
      </c>
      <c r="I244" s="140">
        <f>F244*G244*H244</f>
        <v>1.5674999999999999</v>
      </c>
    </row>
    <row r="245" spans="2:12" x14ac:dyDescent="0.25">
      <c r="B245" s="156">
        <v>2556</v>
      </c>
      <c r="C245" s="151" t="s">
        <v>1</v>
      </c>
      <c r="D245" s="84" t="s">
        <v>113</v>
      </c>
      <c r="E245" s="75" t="s">
        <v>22</v>
      </c>
      <c r="F245" s="140">
        <v>1</v>
      </c>
      <c r="G245" s="77">
        <v>1</v>
      </c>
      <c r="H245" s="139">
        <v>1.92</v>
      </c>
      <c r="I245" s="140">
        <f>F245*G245*H245</f>
        <v>1.92</v>
      </c>
    </row>
    <row r="246" spans="2:12" ht="14.4" thickBot="1" x14ac:dyDescent="0.3">
      <c r="B246" s="156">
        <v>9101</v>
      </c>
      <c r="C246" s="151" t="s">
        <v>9</v>
      </c>
      <c r="D246" s="84" t="s">
        <v>114</v>
      </c>
      <c r="E246" s="75" t="s">
        <v>22</v>
      </c>
      <c r="F246" s="140">
        <v>1</v>
      </c>
      <c r="G246" s="77">
        <v>1</v>
      </c>
      <c r="H246" s="139">
        <v>58.7</v>
      </c>
      <c r="I246" s="140">
        <f>F246*G246*H246</f>
        <v>58.7</v>
      </c>
    </row>
    <row r="247" spans="2:12" ht="14.4" thickBot="1" x14ac:dyDescent="0.3">
      <c r="B247" s="328" t="s">
        <v>28</v>
      </c>
      <c r="C247" s="328"/>
      <c r="D247" s="141"/>
      <c r="E247" s="82" t="s">
        <v>22</v>
      </c>
      <c r="F247" s="82" t="s">
        <v>23</v>
      </c>
      <c r="G247" s="88" t="s">
        <v>24</v>
      </c>
      <c r="H247" s="89" t="s">
        <v>25</v>
      </c>
      <c r="I247" s="226" t="s">
        <v>26</v>
      </c>
    </row>
    <row r="248" spans="2:12" x14ac:dyDescent="0.25">
      <c r="B248" s="156">
        <v>88247</v>
      </c>
      <c r="C248" s="151" t="s">
        <v>1</v>
      </c>
      <c r="D248" s="84" t="s">
        <v>95</v>
      </c>
      <c r="E248" s="75" t="s">
        <v>2</v>
      </c>
      <c r="F248" s="140">
        <v>1</v>
      </c>
      <c r="G248" s="77">
        <v>4</v>
      </c>
      <c r="H248" s="139">
        <v>15.19</v>
      </c>
      <c r="I248" s="140">
        <f>F248*G248*H248</f>
        <v>60.76</v>
      </c>
    </row>
    <row r="249" spans="2:12" ht="14.4" thickBot="1" x14ac:dyDescent="0.3">
      <c r="B249" s="156">
        <v>88264</v>
      </c>
      <c r="C249" s="151" t="s">
        <v>1</v>
      </c>
      <c r="D249" s="84" t="s">
        <v>3</v>
      </c>
      <c r="E249" s="75" t="s">
        <v>2</v>
      </c>
      <c r="F249" s="140">
        <v>1</v>
      </c>
      <c r="G249" s="77">
        <v>5</v>
      </c>
      <c r="H249" s="139">
        <v>19.53</v>
      </c>
      <c r="I249" s="140">
        <f>F249*G249*H249</f>
        <v>97.65</v>
      </c>
    </row>
    <row r="250" spans="2:12" ht="14.4" thickBot="1" x14ac:dyDescent="0.3">
      <c r="B250" s="328" t="s">
        <v>29</v>
      </c>
      <c r="C250" s="328"/>
      <c r="D250" s="328"/>
      <c r="E250" s="328"/>
      <c r="F250" s="328"/>
      <c r="G250" s="328"/>
      <c r="H250" s="328"/>
      <c r="I250" s="296">
        <f>SUM(I244:I249)</f>
        <v>220.5975</v>
      </c>
    </row>
    <row r="251" spans="2:12" s="90" customFormat="1" ht="10.199999999999999" x14ac:dyDescent="0.25">
      <c r="B251" s="166"/>
      <c r="C251" s="223" t="s">
        <v>30</v>
      </c>
      <c r="D251" s="90" t="s">
        <v>120</v>
      </c>
      <c r="E251" s="75"/>
      <c r="F251" s="75"/>
      <c r="G251" s="85"/>
      <c r="H251" s="139"/>
      <c r="I251" s="291"/>
      <c r="L251" s="85"/>
    </row>
    <row r="252" spans="2:12" s="90" customFormat="1" ht="10.199999999999999" x14ac:dyDescent="0.25">
      <c r="B252" s="166"/>
      <c r="C252" s="223"/>
      <c r="E252" s="75"/>
      <c r="F252" s="75"/>
      <c r="G252" s="85"/>
      <c r="H252" s="139"/>
      <c r="I252" s="294"/>
      <c r="L252" s="85"/>
    </row>
    <row r="253" spans="2:12" s="90" customFormat="1" ht="10.8" thickBot="1" x14ac:dyDescent="0.3">
      <c r="B253" s="166"/>
      <c r="C253" s="223"/>
      <c r="E253" s="75"/>
      <c r="F253" s="75"/>
      <c r="G253" s="85"/>
      <c r="H253" s="139"/>
      <c r="I253" s="294"/>
      <c r="L253" s="85"/>
    </row>
    <row r="254" spans="2:12" ht="14.4" thickBot="1" x14ac:dyDescent="0.3">
      <c r="B254" s="330" t="s">
        <v>18</v>
      </c>
      <c r="C254" s="330"/>
      <c r="D254" s="331" t="s">
        <v>19</v>
      </c>
      <c r="E254" s="331"/>
      <c r="F254" s="331"/>
      <c r="G254" s="331"/>
      <c r="H254" s="331"/>
      <c r="I254" s="291" t="s">
        <v>20</v>
      </c>
    </row>
    <row r="255" spans="2:12" ht="14.4" thickBot="1" x14ac:dyDescent="0.3">
      <c r="B255" s="329" t="s">
        <v>141</v>
      </c>
      <c r="C255" s="329"/>
      <c r="D255" s="338" t="s">
        <v>954</v>
      </c>
      <c r="E255" s="338"/>
      <c r="F255" s="338"/>
      <c r="G255" s="338"/>
      <c r="H255" s="338"/>
      <c r="I255" s="297" t="s">
        <v>472</v>
      </c>
    </row>
    <row r="256" spans="2:12" ht="14.4" thickBot="1" x14ac:dyDescent="0.3">
      <c r="B256" s="328" t="s">
        <v>21</v>
      </c>
      <c r="C256" s="328"/>
      <c r="D256" s="141"/>
      <c r="E256" s="157" t="s">
        <v>22</v>
      </c>
      <c r="F256" s="157" t="s">
        <v>23</v>
      </c>
      <c r="G256" s="88" t="s">
        <v>24</v>
      </c>
      <c r="H256" s="89" t="s">
        <v>25</v>
      </c>
      <c r="I256" s="226" t="s">
        <v>26</v>
      </c>
    </row>
    <row r="257" spans="2:12" ht="14.4" thickBot="1" x14ac:dyDescent="0.3">
      <c r="B257" s="162">
        <v>38091</v>
      </c>
      <c r="C257" s="151" t="s">
        <v>1</v>
      </c>
      <c r="D257" s="84" t="s">
        <v>955</v>
      </c>
      <c r="E257" s="75" t="s">
        <v>22</v>
      </c>
      <c r="F257" s="140">
        <v>1</v>
      </c>
      <c r="G257" s="77">
        <v>1</v>
      </c>
      <c r="H257" s="139">
        <v>2.08</v>
      </c>
      <c r="I257" s="140">
        <f t="shared" ref="I257" si="10">F257*G257*H257</f>
        <v>2.08</v>
      </c>
    </row>
    <row r="258" spans="2:12" ht="14.4" thickBot="1" x14ac:dyDescent="0.3">
      <c r="B258" s="328" t="s">
        <v>28</v>
      </c>
      <c r="C258" s="328"/>
      <c r="D258" s="159"/>
      <c r="E258" s="157" t="s">
        <v>22</v>
      </c>
      <c r="F258" s="157" t="s">
        <v>23</v>
      </c>
      <c r="G258" s="88" t="s">
        <v>24</v>
      </c>
      <c r="H258" s="89" t="s">
        <v>25</v>
      </c>
      <c r="I258" s="226" t="s">
        <v>26</v>
      </c>
    </row>
    <row r="259" spans="2:12" x14ac:dyDescent="0.25">
      <c r="B259" s="156">
        <v>88264</v>
      </c>
      <c r="C259" s="151" t="s">
        <v>1</v>
      </c>
      <c r="D259" s="84" t="s">
        <v>3</v>
      </c>
      <c r="E259" s="75" t="s">
        <v>2</v>
      </c>
      <c r="F259" s="140">
        <v>1</v>
      </c>
      <c r="G259" s="77">
        <v>0.55500000000000005</v>
      </c>
      <c r="H259" s="139">
        <v>19.53</v>
      </c>
      <c r="I259" s="140">
        <f t="shared" ref="I259:I260" si="11">F259*G259*H259</f>
        <v>10.839150000000002</v>
      </c>
    </row>
    <row r="260" spans="2:12" ht="14.4" thickBot="1" x14ac:dyDescent="0.3">
      <c r="B260" s="154">
        <v>88247</v>
      </c>
      <c r="C260" s="151" t="s">
        <v>1</v>
      </c>
      <c r="D260" s="84" t="s">
        <v>719</v>
      </c>
      <c r="E260" s="75" t="s">
        <v>2</v>
      </c>
      <c r="F260" s="140">
        <v>1</v>
      </c>
      <c r="G260" s="77">
        <v>0.55500000000000005</v>
      </c>
      <c r="H260" s="87">
        <v>15.19</v>
      </c>
      <c r="I260" s="140">
        <f t="shared" si="11"/>
        <v>8.4304500000000004</v>
      </c>
    </row>
    <row r="261" spans="2:12" ht="14.4" thickBot="1" x14ac:dyDescent="0.3">
      <c r="B261" s="328" t="s">
        <v>29</v>
      </c>
      <c r="C261" s="328"/>
      <c r="D261" s="328"/>
      <c r="E261" s="328"/>
      <c r="F261" s="328"/>
      <c r="G261" s="328"/>
      <c r="H261" s="328"/>
      <c r="I261" s="296">
        <f>SUM(I257:I260)</f>
        <v>21.349600000000002</v>
      </c>
    </row>
    <row r="262" spans="2:12" s="90" customFormat="1" ht="10.199999999999999" x14ac:dyDescent="0.25">
      <c r="B262" s="166"/>
      <c r="C262" s="223" t="s">
        <v>30</v>
      </c>
      <c r="D262" s="90" t="s">
        <v>953</v>
      </c>
      <c r="E262" s="75"/>
      <c r="F262" s="75"/>
      <c r="G262" s="85"/>
      <c r="H262" s="139"/>
      <c r="I262" s="291"/>
      <c r="L262" s="85"/>
    </row>
    <row r="263" spans="2:12" s="90" customFormat="1" ht="10.199999999999999" x14ac:dyDescent="0.25">
      <c r="B263" s="166"/>
      <c r="C263" s="223"/>
      <c r="E263" s="75"/>
      <c r="F263" s="75"/>
      <c r="G263" s="85"/>
      <c r="H263" s="139"/>
      <c r="I263" s="294"/>
      <c r="L263" s="85"/>
    </row>
    <row r="264" spans="2:12" s="90" customFormat="1" ht="10.8" thickBot="1" x14ac:dyDescent="0.3">
      <c r="B264" s="166"/>
      <c r="C264" s="223"/>
      <c r="E264" s="75"/>
      <c r="F264" s="75"/>
      <c r="G264" s="85"/>
      <c r="H264" s="139"/>
      <c r="I264" s="294"/>
      <c r="L264" s="85"/>
    </row>
    <row r="265" spans="2:12" ht="14.4" thickBot="1" x14ac:dyDescent="0.3">
      <c r="B265" s="330" t="s">
        <v>18</v>
      </c>
      <c r="C265" s="330"/>
      <c r="D265" s="331" t="s">
        <v>19</v>
      </c>
      <c r="E265" s="331"/>
      <c r="F265" s="331"/>
      <c r="G265" s="331"/>
      <c r="H265" s="331"/>
      <c r="I265" s="291" t="s">
        <v>20</v>
      </c>
    </row>
    <row r="266" spans="2:12" ht="14.4" thickBot="1" x14ac:dyDescent="0.3">
      <c r="B266" s="336" t="s">
        <v>960</v>
      </c>
      <c r="C266" s="336"/>
      <c r="D266" s="332" t="s">
        <v>1220</v>
      </c>
      <c r="E266" s="332"/>
      <c r="F266" s="332"/>
      <c r="G266" s="332"/>
      <c r="H266" s="332"/>
      <c r="I266" s="297" t="s">
        <v>472</v>
      </c>
    </row>
    <row r="267" spans="2:12" ht="14.4" thickBot="1" x14ac:dyDescent="0.3">
      <c r="B267" s="328" t="s">
        <v>28</v>
      </c>
      <c r="C267" s="328"/>
      <c r="D267" s="141"/>
      <c r="E267" s="82" t="s">
        <v>22</v>
      </c>
      <c r="F267" s="82" t="s">
        <v>23</v>
      </c>
      <c r="G267" s="88" t="s">
        <v>24</v>
      </c>
      <c r="H267" s="89" t="s">
        <v>25</v>
      </c>
      <c r="I267" s="226" t="s">
        <v>26</v>
      </c>
    </row>
    <row r="268" spans="2:12" x14ac:dyDescent="0.25">
      <c r="B268" s="156">
        <v>88247</v>
      </c>
      <c r="C268" s="151" t="s">
        <v>1</v>
      </c>
      <c r="D268" s="84" t="s">
        <v>95</v>
      </c>
      <c r="E268" s="75" t="s">
        <v>2</v>
      </c>
      <c r="F268" s="140">
        <f>64/18</f>
        <v>3.5555555555555554</v>
      </c>
      <c r="G268" s="77">
        <v>1.5233000000000001</v>
      </c>
      <c r="H268" s="139">
        <v>15.19</v>
      </c>
      <c r="I268" s="140">
        <f>F268*G268*H268</f>
        <v>82.271740444444433</v>
      </c>
    </row>
    <row r="269" spans="2:12" ht="14.4" thickBot="1" x14ac:dyDescent="0.3">
      <c r="B269" s="156">
        <v>88264</v>
      </c>
      <c r="C269" s="151" t="s">
        <v>1</v>
      </c>
      <c r="D269" s="84" t="s">
        <v>3</v>
      </c>
      <c r="E269" s="75" t="s">
        <v>2</v>
      </c>
      <c r="F269" s="140">
        <f>64/18</f>
        <v>3.5555555555555554</v>
      </c>
      <c r="G269" s="77">
        <v>1.5233000000000001</v>
      </c>
      <c r="H269" s="139">
        <v>19.53</v>
      </c>
      <c r="I269" s="140">
        <f>F269*G269*H269</f>
        <v>105.777952</v>
      </c>
    </row>
    <row r="270" spans="2:12" ht="14.4" thickBot="1" x14ac:dyDescent="0.3">
      <c r="B270" s="328" t="s">
        <v>29</v>
      </c>
      <c r="C270" s="328"/>
      <c r="D270" s="328"/>
      <c r="E270" s="328"/>
      <c r="F270" s="328"/>
      <c r="G270" s="328"/>
      <c r="H270" s="328"/>
      <c r="I270" s="296">
        <f>SUM(I268:I269)</f>
        <v>188.04969244444442</v>
      </c>
    </row>
    <row r="271" spans="2:12" s="90" customFormat="1" ht="10.199999999999999" x14ac:dyDescent="0.25">
      <c r="B271" s="166"/>
      <c r="C271" s="223" t="s">
        <v>30</v>
      </c>
      <c r="D271" s="90" t="s">
        <v>1219</v>
      </c>
      <c r="E271" s="75"/>
      <c r="F271" s="75"/>
      <c r="G271" s="85"/>
      <c r="H271" s="139"/>
      <c r="I271" s="291"/>
      <c r="L271" s="85"/>
    </row>
    <row r="272" spans="2:12" s="90" customFormat="1" ht="10.199999999999999" x14ac:dyDescent="0.25">
      <c r="B272" s="166"/>
      <c r="C272" s="223"/>
      <c r="E272" s="75"/>
      <c r="F272" s="75"/>
      <c r="G272" s="85"/>
      <c r="H272" s="139"/>
      <c r="I272" s="294"/>
      <c r="L272" s="85"/>
    </row>
    <row r="273" spans="2:12" s="90" customFormat="1" ht="10.8" thickBot="1" x14ac:dyDescent="0.3">
      <c r="B273" s="166"/>
      <c r="C273" s="223"/>
      <c r="E273" s="75"/>
      <c r="F273" s="75"/>
      <c r="G273" s="85"/>
      <c r="H273" s="139"/>
      <c r="I273" s="294"/>
      <c r="L273" s="85"/>
    </row>
    <row r="274" spans="2:12" ht="14.4" thickBot="1" x14ac:dyDescent="0.3">
      <c r="B274" s="330" t="s">
        <v>18</v>
      </c>
      <c r="C274" s="330"/>
      <c r="D274" s="331" t="s">
        <v>19</v>
      </c>
      <c r="E274" s="331"/>
      <c r="F274" s="331"/>
      <c r="G274" s="331"/>
      <c r="H274" s="331"/>
      <c r="I274" s="291" t="s">
        <v>20</v>
      </c>
    </row>
    <row r="275" spans="2:12" ht="14.4" thickBot="1" x14ac:dyDescent="0.3">
      <c r="B275" s="336" t="s">
        <v>961</v>
      </c>
      <c r="C275" s="336"/>
      <c r="D275" s="332" t="s">
        <v>1224</v>
      </c>
      <c r="E275" s="332"/>
      <c r="F275" s="332"/>
      <c r="G275" s="332"/>
      <c r="H275" s="332"/>
      <c r="I275" s="297" t="s">
        <v>472</v>
      </c>
    </row>
    <row r="276" spans="2:12" ht="14.4" thickBot="1" x14ac:dyDescent="0.3">
      <c r="B276" s="328" t="s">
        <v>28</v>
      </c>
      <c r="C276" s="328"/>
      <c r="D276" s="141"/>
      <c r="E276" s="226" t="s">
        <v>22</v>
      </c>
      <c r="F276" s="226" t="s">
        <v>23</v>
      </c>
      <c r="G276" s="88" t="s">
        <v>24</v>
      </c>
      <c r="H276" s="89" t="s">
        <v>25</v>
      </c>
      <c r="I276" s="226" t="s">
        <v>26</v>
      </c>
    </row>
    <row r="277" spans="2:12" x14ac:dyDescent="0.25">
      <c r="B277" s="156">
        <v>88247</v>
      </c>
      <c r="C277" s="151" t="s">
        <v>1</v>
      </c>
      <c r="D277" s="84" t="s">
        <v>95</v>
      </c>
      <c r="E277" s="75" t="s">
        <v>2</v>
      </c>
      <c r="F277" s="140">
        <f>12/18</f>
        <v>0.66666666666666663</v>
      </c>
      <c r="G277" s="77">
        <v>1.5233000000000001</v>
      </c>
      <c r="H277" s="139">
        <v>15.19</v>
      </c>
      <c r="I277" s="140">
        <f>F277*G277*H277</f>
        <v>15.425951333333334</v>
      </c>
    </row>
    <row r="278" spans="2:12" ht="14.4" thickBot="1" x14ac:dyDescent="0.3">
      <c r="B278" s="156">
        <v>88264</v>
      </c>
      <c r="C278" s="151" t="s">
        <v>1</v>
      </c>
      <c r="D278" s="84" t="s">
        <v>3</v>
      </c>
      <c r="E278" s="75" t="s">
        <v>2</v>
      </c>
      <c r="F278" s="140">
        <f>12/18</f>
        <v>0.66666666666666663</v>
      </c>
      <c r="G278" s="77">
        <v>1.5233000000000001</v>
      </c>
      <c r="H278" s="139">
        <v>19.53</v>
      </c>
      <c r="I278" s="140">
        <f>F278*G278*H278</f>
        <v>19.833366000000002</v>
      </c>
    </row>
    <row r="279" spans="2:12" ht="14.4" thickBot="1" x14ac:dyDescent="0.3">
      <c r="B279" s="328" t="s">
        <v>29</v>
      </c>
      <c r="C279" s="328"/>
      <c r="D279" s="328"/>
      <c r="E279" s="328"/>
      <c r="F279" s="328"/>
      <c r="G279" s="328"/>
      <c r="H279" s="328"/>
      <c r="I279" s="296">
        <f>SUM(I277:I278)</f>
        <v>35.259317333333335</v>
      </c>
    </row>
    <row r="280" spans="2:12" s="90" customFormat="1" ht="10.199999999999999" x14ac:dyDescent="0.25">
      <c r="B280" s="166"/>
      <c r="C280" s="223" t="s">
        <v>30</v>
      </c>
      <c r="D280" s="90" t="s">
        <v>1219</v>
      </c>
      <c r="E280" s="75"/>
      <c r="F280" s="75"/>
      <c r="G280" s="85"/>
      <c r="H280" s="139"/>
      <c r="I280" s="291"/>
      <c r="L280" s="85"/>
    </row>
    <row r="281" spans="2:12" s="90" customFormat="1" ht="10.199999999999999" x14ac:dyDescent="0.25">
      <c r="B281" s="166"/>
      <c r="C281" s="223"/>
      <c r="E281" s="75"/>
      <c r="F281" s="75"/>
      <c r="G281" s="85"/>
      <c r="H281" s="139"/>
      <c r="I281" s="294"/>
      <c r="L281" s="85"/>
    </row>
    <row r="282" spans="2:12" s="90" customFormat="1" ht="10.8" thickBot="1" x14ac:dyDescent="0.3">
      <c r="B282" s="166"/>
      <c r="C282" s="223"/>
      <c r="E282" s="75"/>
      <c r="F282" s="75"/>
      <c r="G282" s="85"/>
      <c r="H282" s="139"/>
      <c r="I282" s="294"/>
      <c r="L282" s="85"/>
    </row>
    <row r="283" spans="2:12" ht="14.4" thickBot="1" x14ac:dyDescent="0.3">
      <c r="B283" s="330" t="s">
        <v>18</v>
      </c>
      <c r="C283" s="330"/>
      <c r="D283" s="331" t="s">
        <v>19</v>
      </c>
      <c r="E283" s="331"/>
      <c r="F283" s="331"/>
      <c r="G283" s="331"/>
      <c r="H283" s="331"/>
      <c r="I283" s="291" t="s">
        <v>20</v>
      </c>
    </row>
    <row r="284" spans="2:12" ht="14.4" thickBot="1" x14ac:dyDescent="0.3">
      <c r="B284" s="336" t="s">
        <v>962</v>
      </c>
      <c r="C284" s="336"/>
      <c r="D284" s="332" t="s">
        <v>1223</v>
      </c>
      <c r="E284" s="332"/>
      <c r="F284" s="332"/>
      <c r="G284" s="332"/>
      <c r="H284" s="332"/>
      <c r="I284" s="297" t="s">
        <v>472</v>
      </c>
    </row>
    <row r="285" spans="2:12" ht="14.4" thickBot="1" x14ac:dyDescent="0.3">
      <c r="B285" s="328" t="s">
        <v>28</v>
      </c>
      <c r="C285" s="328"/>
      <c r="D285" s="141"/>
      <c r="E285" s="226" t="s">
        <v>22</v>
      </c>
      <c r="F285" s="226" t="s">
        <v>23</v>
      </c>
      <c r="G285" s="88" t="s">
        <v>24</v>
      </c>
      <c r="H285" s="89" t="s">
        <v>25</v>
      </c>
      <c r="I285" s="226" t="s">
        <v>26</v>
      </c>
    </row>
    <row r="286" spans="2:12" x14ac:dyDescent="0.25">
      <c r="B286" s="156">
        <v>88247</v>
      </c>
      <c r="C286" s="151" t="s">
        <v>1</v>
      </c>
      <c r="D286" s="84" t="s">
        <v>95</v>
      </c>
      <c r="E286" s="75" t="s">
        <v>2</v>
      </c>
      <c r="F286" s="140">
        <f>32/18</f>
        <v>1.7777777777777777</v>
      </c>
      <c r="G286" s="77">
        <v>1.5233000000000001</v>
      </c>
      <c r="H286" s="139">
        <v>15.19</v>
      </c>
      <c r="I286" s="140">
        <f>F286*G286*H286</f>
        <v>41.135870222222216</v>
      </c>
    </row>
    <row r="287" spans="2:12" ht="14.4" thickBot="1" x14ac:dyDescent="0.3">
      <c r="B287" s="156">
        <v>88264</v>
      </c>
      <c r="C287" s="151" t="s">
        <v>1</v>
      </c>
      <c r="D287" s="84" t="s">
        <v>3</v>
      </c>
      <c r="E287" s="75" t="s">
        <v>2</v>
      </c>
      <c r="F287" s="140">
        <f>32/18</f>
        <v>1.7777777777777777</v>
      </c>
      <c r="G287" s="77">
        <v>1.5233000000000001</v>
      </c>
      <c r="H287" s="139">
        <v>19.53</v>
      </c>
      <c r="I287" s="140">
        <f>F287*G287*H287</f>
        <v>52.888976</v>
      </c>
    </row>
    <row r="288" spans="2:12" ht="14.4" thickBot="1" x14ac:dyDescent="0.3">
      <c r="B288" s="328" t="s">
        <v>29</v>
      </c>
      <c r="C288" s="328"/>
      <c r="D288" s="328"/>
      <c r="E288" s="328"/>
      <c r="F288" s="328"/>
      <c r="G288" s="328"/>
      <c r="H288" s="328"/>
      <c r="I288" s="296">
        <f>SUM(I286:I287)</f>
        <v>94.024846222222209</v>
      </c>
    </row>
    <row r="289" spans="2:12" s="90" customFormat="1" ht="10.199999999999999" x14ac:dyDescent="0.25">
      <c r="B289" s="166"/>
      <c r="C289" s="223" t="s">
        <v>30</v>
      </c>
      <c r="D289" s="90" t="s">
        <v>1219</v>
      </c>
      <c r="E289" s="75"/>
      <c r="F289" s="75"/>
      <c r="G289" s="85"/>
      <c r="H289" s="139"/>
      <c r="I289" s="291"/>
      <c r="L289" s="85"/>
    </row>
    <row r="290" spans="2:12" s="90" customFormat="1" ht="10.199999999999999" x14ac:dyDescent="0.25">
      <c r="B290" s="166"/>
      <c r="C290" s="223"/>
      <c r="E290" s="75"/>
      <c r="F290" s="75"/>
      <c r="G290" s="85"/>
      <c r="H290" s="139"/>
      <c r="I290" s="294"/>
      <c r="L290" s="85"/>
    </row>
    <row r="291" spans="2:12" s="90" customFormat="1" ht="10.8" thickBot="1" x14ac:dyDescent="0.3">
      <c r="B291" s="166"/>
      <c r="C291" s="223"/>
      <c r="E291" s="75"/>
      <c r="F291" s="75"/>
      <c r="G291" s="85"/>
      <c r="H291" s="139"/>
      <c r="I291" s="294"/>
      <c r="L291" s="85"/>
    </row>
    <row r="292" spans="2:12" ht="14.4" thickBot="1" x14ac:dyDescent="0.3">
      <c r="B292" s="330" t="s">
        <v>18</v>
      </c>
      <c r="C292" s="330"/>
      <c r="D292" s="331" t="s">
        <v>19</v>
      </c>
      <c r="E292" s="331"/>
      <c r="F292" s="331"/>
      <c r="G292" s="331"/>
      <c r="H292" s="331"/>
      <c r="I292" s="291" t="s">
        <v>20</v>
      </c>
    </row>
    <row r="293" spans="2:12" ht="14.4" thickBot="1" x14ac:dyDescent="0.3">
      <c r="B293" s="336" t="s">
        <v>963</v>
      </c>
      <c r="C293" s="336"/>
      <c r="D293" s="332" t="s">
        <v>1226</v>
      </c>
      <c r="E293" s="332"/>
      <c r="F293" s="332"/>
      <c r="G293" s="332"/>
      <c r="H293" s="332"/>
      <c r="I293" s="297" t="s">
        <v>472</v>
      </c>
    </row>
    <row r="294" spans="2:12" ht="14.4" thickBot="1" x14ac:dyDescent="0.3">
      <c r="B294" s="328" t="s">
        <v>28</v>
      </c>
      <c r="C294" s="328"/>
      <c r="D294" s="141"/>
      <c r="E294" s="226" t="s">
        <v>22</v>
      </c>
      <c r="F294" s="226" t="s">
        <v>23</v>
      </c>
      <c r="G294" s="88" t="s">
        <v>24</v>
      </c>
      <c r="H294" s="89" t="s">
        <v>25</v>
      </c>
      <c r="I294" s="226" t="s">
        <v>26</v>
      </c>
    </row>
    <row r="295" spans="2:12" x14ac:dyDescent="0.25">
      <c r="B295" s="156">
        <v>88247</v>
      </c>
      <c r="C295" s="151" t="s">
        <v>1</v>
      </c>
      <c r="D295" s="84" t="s">
        <v>95</v>
      </c>
      <c r="E295" s="75" t="s">
        <v>2</v>
      </c>
      <c r="F295" s="140">
        <f>36/18</f>
        <v>2</v>
      </c>
      <c r="G295" s="77">
        <v>1.5233000000000001</v>
      </c>
      <c r="H295" s="139">
        <v>15.19</v>
      </c>
      <c r="I295" s="140">
        <f>F295*G295*H295</f>
        <v>46.277854000000005</v>
      </c>
    </row>
    <row r="296" spans="2:12" ht="14.4" thickBot="1" x14ac:dyDescent="0.3">
      <c r="B296" s="156">
        <v>88264</v>
      </c>
      <c r="C296" s="151" t="s">
        <v>1</v>
      </c>
      <c r="D296" s="84" t="s">
        <v>3</v>
      </c>
      <c r="E296" s="75" t="s">
        <v>2</v>
      </c>
      <c r="F296" s="140">
        <f>36/18</f>
        <v>2</v>
      </c>
      <c r="G296" s="77">
        <v>1.5233000000000001</v>
      </c>
      <c r="H296" s="139">
        <v>19.53</v>
      </c>
      <c r="I296" s="140">
        <f>F296*G296*H296</f>
        <v>59.500098000000008</v>
      </c>
    </row>
    <row r="297" spans="2:12" ht="14.4" thickBot="1" x14ac:dyDescent="0.3">
      <c r="B297" s="328" t="s">
        <v>29</v>
      </c>
      <c r="C297" s="328"/>
      <c r="D297" s="328"/>
      <c r="E297" s="328"/>
      <c r="F297" s="328"/>
      <c r="G297" s="328"/>
      <c r="H297" s="328"/>
      <c r="I297" s="296">
        <f>SUM(I295:I296)</f>
        <v>105.77795200000001</v>
      </c>
    </row>
    <row r="298" spans="2:12" s="90" customFormat="1" ht="10.199999999999999" x14ac:dyDescent="0.25">
      <c r="B298" s="166"/>
      <c r="C298" s="223" t="s">
        <v>30</v>
      </c>
      <c r="D298" s="90" t="s">
        <v>1219</v>
      </c>
      <c r="E298" s="75"/>
      <c r="F298" s="75"/>
      <c r="G298" s="85"/>
      <c r="H298" s="139"/>
      <c r="I298" s="291"/>
      <c r="L298" s="85"/>
    </row>
    <row r="299" spans="2:12" s="90" customFormat="1" ht="10.199999999999999" x14ac:dyDescent="0.25">
      <c r="B299" s="166"/>
      <c r="C299" s="223"/>
      <c r="E299" s="75"/>
      <c r="F299" s="75"/>
      <c r="G299" s="85"/>
      <c r="H299" s="139"/>
      <c r="I299" s="294"/>
      <c r="L299" s="85"/>
    </row>
    <row r="300" spans="2:12" s="90" customFormat="1" ht="10.8" thickBot="1" x14ac:dyDescent="0.3">
      <c r="B300" s="166"/>
      <c r="C300" s="223"/>
      <c r="E300" s="75"/>
      <c r="F300" s="75"/>
      <c r="G300" s="85"/>
      <c r="H300" s="139"/>
      <c r="I300" s="294"/>
      <c r="L300" s="85"/>
    </row>
    <row r="301" spans="2:12" ht="14.4" thickBot="1" x14ac:dyDescent="0.3">
      <c r="B301" s="330" t="s">
        <v>18</v>
      </c>
      <c r="C301" s="330"/>
      <c r="D301" s="331" t="s">
        <v>19</v>
      </c>
      <c r="E301" s="331"/>
      <c r="F301" s="331"/>
      <c r="G301" s="331"/>
      <c r="H301" s="331"/>
      <c r="I301" s="291" t="s">
        <v>20</v>
      </c>
    </row>
    <row r="302" spans="2:12" ht="14.4" thickBot="1" x14ac:dyDescent="0.3">
      <c r="B302" s="336" t="s">
        <v>964</v>
      </c>
      <c r="C302" s="336"/>
      <c r="D302" s="332" t="s">
        <v>1228</v>
      </c>
      <c r="E302" s="332"/>
      <c r="F302" s="332"/>
      <c r="G302" s="332"/>
      <c r="H302" s="332"/>
      <c r="I302" s="297" t="s">
        <v>472</v>
      </c>
    </row>
    <row r="303" spans="2:12" ht="14.4" thickBot="1" x14ac:dyDescent="0.3">
      <c r="B303" s="328" t="s">
        <v>28</v>
      </c>
      <c r="C303" s="328"/>
      <c r="D303" s="141"/>
      <c r="E303" s="226" t="s">
        <v>22</v>
      </c>
      <c r="F303" s="226" t="s">
        <v>23</v>
      </c>
      <c r="G303" s="88" t="s">
        <v>24</v>
      </c>
      <c r="H303" s="89" t="s">
        <v>25</v>
      </c>
      <c r="I303" s="226" t="s">
        <v>26</v>
      </c>
    </row>
    <row r="304" spans="2:12" x14ac:dyDescent="0.25">
      <c r="B304" s="156">
        <v>88247</v>
      </c>
      <c r="C304" s="151" t="s">
        <v>1</v>
      </c>
      <c r="D304" s="84" t="s">
        <v>95</v>
      </c>
      <c r="E304" s="75" t="s">
        <v>2</v>
      </c>
      <c r="F304" s="140">
        <f>48/18</f>
        <v>2.6666666666666665</v>
      </c>
      <c r="G304" s="77">
        <v>1.5233000000000001</v>
      </c>
      <c r="H304" s="139">
        <v>15.19</v>
      </c>
      <c r="I304" s="140">
        <f>F304*G304*H304</f>
        <v>61.703805333333335</v>
      </c>
    </row>
    <row r="305" spans="2:12" ht="14.4" thickBot="1" x14ac:dyDescent="0.3">
      <c r="B305" s="156">
        <v>88264</v>
      </c>
      <c r="C305" s="151" t="s">
        <v>1</v>
      </c>
      <c r="D305" s="84" t="s">
        <v>3</v>
      </c>
      <c r="E305" s="75" t="s">
        <v>2</v>
      </c>
      <c r="F305" s="140">
        <f>48/18</f>
        <v>2.6666666666666665</v>
      </c>
      <c r="G305" s="77">
        <v>1.5233000000000001</v>
      </c>
      <c r="H305" s="139">
        <v>19.53</v>
      </c>
      <c r="I305" s="140">
        <f>F305*G305*H305</f>
        <v>79.333464000000006</v>
      </c>
    </row>
    <row r="306" spans="2:12" s="90" customFormat="1" ht="10.8" thickBot="1" x14ac:dyDescent="0.3">
      <c r="B306" s="328" t="s">
        <v>29</v>
      </c>
      <c r="C306" s="328"/>
      <c r="D306" s="328"/>
      <c r="E306" s="328"/>
      <c r="F306" s="328"/>
      <c r="G306" s="328"/>
      <c r="H306" s="328"/>
      <c r="I306" s="296">
        <f>SUM(I304:I305)</f>
        <v>141.03726933333334</v>
      </c>
      <c r="L306" s="85"/>
    </row>
    <row r="307" spans="2:12" s="90" customFormat="1" ht="10.199999999999999" x14ac:dyDescent="0.25">
      <c r="B307" s="166"/>
      <c r="C307" s="223" t="s">
        <v>30</v>
      </c>
      <c r="D307" s="90" t="s">
        <v>1219</v>
      </c>
      <c r="E307" s="75"/>
      <c r="F307" s="75"/>
      <c r="G307" s="85"/>
      <c r="H307" s="139"/>
      <c r="I307" s="291"/>
      <c r="L307" s="85"/>
    </row>
    <row r="308" spans="2:12" s="90" customFormat="1" ht="10.199999999999999" x14ac:dyDescent="0.25">
      <c r="B308" s="166"/>
      <c r="C308" s="223"/>
      <c r="E308" s="75"/>
      <c r="F308" s="75"/>
      <c r="G308" s="85"/>
      <c r="H308" s="139"/>
      <c r="I308" s="294"/>
      <c r="L308" s="85"/>
    </row>
    <row r="309" spans="2:12" s="90" customFormat="1" ht="10.8" thickBot="1" x14ac:dyDescent="0.3">
      <c r="B309" s="166"/>
      <c r="C309" s="223"/>
      <c r="E309" s="75"/>
      <c r="F309" s="75"/>
      <c r="G309" s="85"/>
      <c r="H309" s="139"/>
      <c r="I309" s="294"/>
      <c r="L309" s="85"/>
    </row>
    <row r="310" spans="2:12" ht="14.4" thickBot="1" x14ac:dyDescent="0.3">
      <c r="B310" s="330" t="s">
        <v>18</v>
      </c>
      <c r="C310" s="330"/>
      <c r="D310" s="331" t="s">
        <v>19</v>
      </c>
      <c r="E310" s="331"/>
      <c r="F310" s="331"/>
      <c r="G310" s="331"/>
      <c r="H310" s="331"/>
      <c r="I310" s="291" t="s">
        <v>20</v>
      </c>
    </row>
    <row r="311" spans="2:12" ht="14.4" thickBot="1" x14ac:dyDescent="0.3">
      <c r="B311" s="329" t="s">
        <v>144</v>
      </c>
      <c r="C311" s="329"/>
      <c r="D311" s="332" t="s">
        <v>142</v>
      </c>
      <c r="E311" s="332"/>
      <c r="F311" s="332"/>
      <c r="G311" s="332"/>
      <c r="H311" s="332"/>
      <c r="I311" s="297" t="s">
        <v>472</v>
      </c>
    </row>
    <row r="312" spans="2:12" ht="14.4" thickBot="1" x14ac:dyDescent="0.3">
      <c r="B312" s="328" t="s">
        <v>21</v>
      </c>
      <c r="C312" s="328"/>
      <c r="D312" s="141"/>
      <c r="E312" s="82" t="s">
        <v>22</v>
      </c>
      <c r="F312" s="82" t="s">
        <v>23</v>
      </c>
      <c r="G312" s="88" t="s">
        <v>24</v>
      </c>
      <c r="H312" s="89" t="s">
        <v>25</v>
      </c>
      <c r="I312" s="226" t="s">
        <v>26</v>
      </c>
    </row>
    <row r="313" spans="2:12" ht="14.4" thickBot="1" x14ac:dyDescent="0.3">
      <c r="B313" s="166"/>
      <c r="C313" s="151" t="s">
        <v>206</v>
      </c>
      <c r="D313" s="84" t="s">
        <v>217</v>
      </c>
      <c r="E313" s="75" t="s">
        <v>22</v>
      </c>
      <c r="F313" s="140">
        <v>1</v>
      </c>
      <c r="G313" s="77">
        <v>1</v>
      </c>
      <c r="H313" s="139">
        <v>213.71</v>
      </c>
      <c r="I313" s="140">
        <f>F313*G313*H313</f>
        <v>213.71</v>
      </c>
      <c r="J313" s="104"/>
    </row>
    <row r="314" spans="2:12" ht="14.4" thickBot="1" x14ac:dyDescent="0.3">
      <c r="B314" s="328" t="s">
        <v>28</v>
      </c>
      <c r="C314" s="328"/>
      <c r="D314" s="141"/>
      <c r="E314" s="82" t="s">
        <v>22</v>
      </c>
      <c r="F314" s="82" t="s">
        <v>23</v>
      </c>
      <c r="G314" s="88" t="s">
        <v>24</v>
      </c>
      <c r="H314" s="89" t="s">
        <v>25</v>
      </c>
      <c r="I314" s="226" t="s">
        <v>26</v>
      </c>
    </row>
    <row r="315" spans="2:12" x14ac:dyDescent="0.25">
      <c r="B315" s="156">
        <v>88247</v>
      </c>
      <c r="C315" s="151" t="s">
        <v>1</v>
      </c>
      <c r="D315" s="84" t="s">
        <v>95</v>
      </c>
      <c r="E315" s="75" t="s">
        <v>2</v>
      </c>
      <c r="F315" s="140">
        <v>1</v>
      </c>
      <c r="G315" s="77">
        <v>0.46</v>
      </c>
      <c r="H315" s="139">
        <v>15.19</v>
      </c>
      <c r="I315" s="140">
        <f>F315*G315*H315</f>
        <v>6.9874000000000001</v>
      </c>
    </row>
    <row r="316" spans="2:12" ht="14.4" thickBot="1" x14ac:dyDescent="0.3">
      <c r="B316" s="156">
        <v>88264</v>
      </c>
      <c r="C316" s="151" t="s">
        <v>1</v>
      </c>
      <c r="D316" s="84" t="s">
        <v>3</v>
      </c>
      <c r="E316" s="75" t="s">
        <v>2</v>
      </c>
      <c r="F316" s="140">
        <v>1</v>
      </c>
      <c r="G316" s="77">
        <v>0.46</v>
      </c>
      <c r="H316" s="139">
        <v>19.53</v>
      </c>
      <c r="I316" s="140">
        <f>F316*G316*H316</f>
        <v>8.9838000000000005</v>
      </c>
    </row>
    <row r="317" spans="2:12" ht="14.4" thickBot="1" x14ac:dyDescent="0.3">
      <c r="B317" s="328" t="s">
        <v>29</v>
      </c>
      <c r="C317" s="328"/>
      <c r="D317" s="328"/>
      <c r="E317" s="328"/>
      <c r="F317" s="328"/>
      <c r="G317" s="328"/>
      <c r="H317" s="328"/>
      <c r="I317" s="296">
        <f>SUM(I313:I316)</f>
        <v>229.68120000000002</v>
      </c>
    </row>
    <row r="318" spans="2:12" s="90" customFormat="1" ht="10.199999999999999" x14ac:dyDescent="0.25">
      <c r="B318" s="166"/>
      <c r="C318" s="223" t="s">
        <v>30</v>
      </c>
      <c r="D318" s="90" t="s">
        <v>151</v>
      </c>
      <c r="E318" s="75"/>
      <c r="F318" s="75"/>
      <c r="G318" s="85"/>
      <c r="H318" s="139"/>
      <c r="I318" s="291"/>
      <c r="L318" s="85"/>
    </row>
    <row r="319" spans="2:12" s="90" customFormat="1" ht="10.199999999999999" x14ac:dyDescent="0.25">
      <c r="B319" s="166"/>
      <c r="C319" s="223"/>
      <c r="E319" s="75"/>
      <c r="F319" s="75"/>
      <c r="G319" s="85"/>
      <c r="H319" s="139"/>
      <c r="I319" s="294"/>
      <c r="L319" s="85"/>
    </row>
    <row r="320" spans="2:12" s="90" customFormat="1" ht="10.8" thickBot="1" x14ac:dyDescent="0.3">
      <c r="B320" s="166"/>
      <c r="C320" s="223"/>
      <c r="E320" s="75"/>
      <c r="F320" s="75"/>
      <c r="G320" s="85"/>
      <c r="H320" s="139"/>
      <c r="I320" s="294"/>
      <c r="L320" s="85"/>
    </row>
    <row r="321" spans="2:12" ht="14.4" thickBot="1" x14ac:dyDescent="0.3">
      <c r="B321" s="330" t="s">
        <v>18</v>
      </c>
      <c r="C321" s="330"/>
      <c r="D321" s="331" t="s">
        <v>19</v>
      </c>
      <c r="E321" s="331"/>
      <c r="F321" s="331"/>
      <c r="G321" s="331"/>
      <c r="H321" s="331"/>
      <c r="I321" s="291" t="s">
        <v>20</v>
      </c>
    </row>
    <row r="322" spans="2:12" ht="14.4" thickBot="1" x14ac:dyDescent="0.3">
      <c r="B322" s="329" t="s">
        <v>148</v>
      </c>
      <c r="C322" s="329"/>
      <c r="D322" s="332" t="s">
        <v>145</v>
      </c>
      <c r="E322" s="332"/>
      <c r="F322" s="332"/>
      <c r="G322" s="332"/>
      <c r="H322" s="332"/>
      <c r="I322" s="297" t="s">
        <v>472</v>
      </c>
    </row>
    <row r="323" spans="2:12" ht="14.4" thickBot="1" x14ac:dyDescent="0.3">
      <c r="B323" s="328" t="s">
        <v>21</v>
      </c>
      <c r="C323" s="328"/>
      <c r="D323" s="141"/>
      <c r="E323" s="82" t="s">
        <v>22</v>
      </c>
      <c r="F323" s="82" t="s">
        <v>23</v>
      </c>
      <c r="G323" s="88" t="s">
        <v>24</v>
      </c>
      <c r="H323" s="89" t="s">
        <v>25</v>
      </c>
      <c r="I323" s="226" t="s">
        <v>26</v>
      </c>
    </row>
    <row r="324" spans="2:12" ht="21" thickBot="1" x14ac:dyDescent="0.3">
      <c r="B324" s="156">
        <v>12327</v>
      </c>
      <c r="C324" s="151" t="s">
        <v>1</v>
      </c>
      <c r="D324" s="84" t="s">
        <v>146</v>
      </c>
      <c r="E324" s="75" t="s">
        <v>22</v>
      </c>
      <c r="F324" s="140">
        <v>1</v>
      </c>
      <c r="G324" s="77">
        <v>1</v>
      </c>
      <c r="H324" s="139">
        <v>43.21</v>
      </c>
      <c r="I324" s="140">
        <f>F324*G324*H324</f>
        <v>43.21</v>
      </c>
    </row>
    <row r="325" spans="2:12" ht="14.4" thickBot="1" x14ac:dyDescent="0.3">
      <c r="B325" s="328" t="s">
        <v>28</v>
      </c>
      <c r="C325" s="328"/>
      <c r="D325" s="141"/>
      <c r="E325" s="82" t="s">
        <v>22</v>
      </c>
      <c r="F325" s="82" t="s">
        <v>23</v>
      </c>
      <c r="G325" s="88" t="s">
        <v>24</v>
      </c>
      <c r="H325" s="89" t="s">
        <v>25</v>
      </c>
      <c r="I325" s="226" t="s">
        <v>26</v>
      </c>
    </row>
    <row r="326" spans="2:12" x14ac:dyDescent="0.25">
      <c r="B326" s="156">
        <v>88247</v>
      </c>
      <c r="C326" s="151" t="s">
        <v>1</v>
      </c>
      <c r="D326" s="84" t="s">
        <v>95</v>
      </c>
      <c r="E326" s="75" t="s">
        <v>2</v>
      </c>
      <c r="F326" s="140">
        <v>1</v>
      </c>
      <c r="G326" s="77">
        <v>0.25</v>
      </c>
      <c r="H326" s="139">
        <v>15.19</v>
      </c>
      <c r="I326" s="140">
        <f>F326*G326*H326</f>
        <v>3.7974999999999999</v>
      </c>
    </row>
    <row r="327" spans="2:12" ht="14.4" thickBot="1" x14ac:dyDescent="0.3">
      <c r="B327" s="156">
        <v>88264</v>
      </c>
      <c r="C327" s="151" t="s">
        <v>1</v>
      </c>
      <c r="D327" s="84" t="s">
        <v>3</v>
      </c>
      <c r="E327" s="75" t="s">
        <v>2</v>
      </c>
      <c r="F327" s="140">
        <v>1</v>
      </c>
      <c r="G327" s="77">
        <v>0.5</v>
      </c>
      <c r="H327" s="139">
        <v>19.53</v>
      </c>
      <c r="I327" s="140">
        <f>F327*G327*H327</f>
        <v>9.7650000000000006</v>
      </c>
    </row>
    <row r="328" spans="2:12" ht="14.4" thickBot="1" x14ac:dyDescent="0.3">
      <c r="B328" s="328" t="s">
        <v>29</v>
      </c>
      <c r="C328" s="328"/>
      <c r="D328" s="328"/>
      <c r="E328" s="328"/>
      <c r="F328" s="328"/>
      <c r="G328" s="328"/>
      <c r="H328" s="328"/>
      <c r="I328" s="296">
        <f>SUM(I324:I327)</f>
        <v>56.772500000000001</v>
      </c>
    </row>
    <row r="329" spans="2:12" s="90" customFormat="1" ht="10.199999999999999" x14ac:dyDescent="0.25">
      <c r="B329" s="166"/>
      <c r="C329" s="223" t="s">
        <v>30</v>
      </c>
      <c r="D329" s="90" t="s">
        <v>152</v>
      </c>
      <c r="E329" s="75"/>
      <c r="F329" s="75"/>
      <c r="G329" s="85"/>
      <c r="H329" s="139"/>
      <c r="I329" s="291"/>
      <c r="L329" s="85"/>
    </row>
    <row r="330" spans="2:12" s="90" customFormat="1" ht="10.199999999999999" x14ac:dyDescent="0.25">
      <c r="B330" s="166"/>
      <c r="C330" s="223"/>
      <c r="E330" s="75"/>
      <c r="F330" s="75"/>
      <c r="G330" s="85"/>
      <c r="H330" s="139"/>
      <c r="I330" s="294"/>
      <c r="L330" s="85"/>
    </row>
    <row r="331" spans="2:12" s="90" customFormat="1" ht="10.8" thickBot="1" x14ac:dyDescent="0.3">
      <c r="B331" s="166"/>
      <c r="C331" s="223"/>
      <c r="E331" s="75"/>
      <c r="F331" s="75"/>
      <c r="G331" s="85"/>
      <c r="H331" s="139"/>
      <c r="I331" s="294"/>
      <c r="L331" s="85"/>
    </row>
    <row r="332" spans="2:12" ht="14.4" thickBot="1" x14ac:dyDescent="0.3">
      <c r="B332" s="330" t="s">
        <v>18</v>
      </c>
      <c r="C332" s="330"/>
      <c r="D332" s="331" t="s">
        <v>19</v>
      </c>
      <c r="E332" s="331"/>
      <c r="F332" s="331"/>
      <c r="G332" s="331"/>
      <c r="H332" s="331"/>
      <c r="I332" s="291" t="s">
        <v>20</v>
      </c>
    </row>
    <row r="333" spans="2:12" ht="14.4" thickBot="1" x14ac:dyDescent="0.3">
      <c r="B333" s="329" t="s">
        <v>155</v>
      </c>
      <c r="C333" s="329"/>
      <c r="D333" s="332" t="s">
        <v>149</v>
      </c>
      <c r="E333" s="332"/>
      <c r="F333" s="332"/>
      <c r="G333" s="332"/>
      <c r="H333" s="332"/>
      <c r="I333" s="297" t="s">
        <v>472</v>
      </c>
    </row>
    <row r="334" spans="2:12" ht="14.4" thickBot="1" x14ac:dyDescent="0.3">
      <c r="B334" s="328" t="s">
        <v>21</v>
      </c>
      <c r="C334" s="328"/>
      <c r="D334" s="141"/>
      <c r="E334" s="82" t="s">
        <v>22</v>
      </c>
      <c r="F334" s="82" t="s">
        <v>23</v>
      </c>
      <c r="G334" s="88" t="s">
        <v>24</v>
      </c>
      <c r="H334" s="89" t="s">
        <v>25</v>
      </c>
      <c r="I334" s="226" t="s">
        <v>26</v>
      </c>
    </row>
    <row r="335" spans="2:12" ht="14.4" thickBot="1" x14ac:dyDescent="0.3">
      <c r="B335" s="156">
        <v>3406</v>
      </c>
      <c r="C335" s="151" t="s">
        <v>1</v>
      </c>
      <c r="D335" s="84" t="s">
        <v>150</v>
      </c>
      <c r="E335" s="75" t="s">
        <v>22</v>
      </c>
      <c r="F335" s="140">
        <v>1</v>
      </c>
      <c r="G335" s="77">
        <v>1</v>
      </c>
      <c r="H335" s="139">
        <v>28.13</v>
      </c>
      <c r="I335" s="140">
        <f>F335*G335*H335</f>
        <v>28.13</v>
      </c>
    </row>
    <row r="336" spans="2:12" ht="14.4" thickBot="1" x14ac:dyDescent="0.3">
      <c r="B336" s="328" t="s">
        <v>28</v>
      </c>
      <c r="C336" s="328"/>
      <c r="D336" s="141"/>
      <c r="E336" s="82" t="s">
        <v>22</v>
      </c>
      <c r="F336" s="82" t="s">
        <v>23</v>
      </c>
      <c r="G336" s="88" t="s">
        <v>24</v>
      </c>
      <c r="H336" s="89" t="s">
        <v>25</v>
      </c>
      <c r="I336" s="226" t="s">
        <v>26</v>
      </c>
    </row>
    <row r="337" spans="2:12" x14ac:dyDescent="0.25">
      <c r="B337" s="156">
        <v>88247</v>
      </c>
      <c r="C337" s="151" t="s">
        <v>1</v>
      </c>
      <c r="D337" s="84" t="s">
        <v>95</v>
      </c>
      <c r="E337" s="75" t="s">
        <v>2</v>
      </c>
      <c r="F337" s="140">
        <v>1</v>
      </c>
      <c r="G337" s="77">
        <v>0.27</v>
      </c>
      <c r="H337" s="139">
        <v>15.19</v>
      </c>
      <c r="I337" s="140">
        <f>F337*G337*H337</f>
        <v>4.1013000000000002</v>
      </c>
    </row>
    <row r="338" spans="2:12" ht="14.4" thickBot="1" x14ac:dyDescent="0.3">
      <c r="B338" s="156">
        <v>88264</v>
      </c>
      <c r="C338" s="151" t="s">
        <v>1</v>
      </c>
      <c r="D338" s="84" t="s">
        <v>3</v>
      </c>
      <c r="E338" s="75" t="s">
        <v>2</v>
      </c>
      <c r="F338" s="140">
        <v>1</v>
      </c>
      <c r="G338" s="77">
        <v>0.27</v>
      </c>
      <c r="H338" s="139">
        <v>19.53</v>
      </c>
      <c r="I338" s="140">
        <f>F338*G338*H338</f>
        <v>5.2731000000000003</v>
      </c>
    </row>
    <row r="339" spans="2:12" ht="14.4" thickBot="1" x14ac:dyDescent="0.3">
      <c r="B339" s="328" t="s">
        <v>29</v>
      </c>
      <c r="C339" s="328"/>
      <c r="D339" s="328"/>
      <c r="E339" s="328"/>
      <c r="F339" s="328"/>
      <c r="G339" s="328"/>
      <c r="H339" s="328"/>
      <c r="I339" s="296">
        <f>SUM(I335:I338)</f>
        <v>37.504399999999997</v>
      </c>
    </row>
    <row r="340" spans="2:12" s="90" customFormat="1" ht="10.199999999999999" x14ac:dyDescent="0.25">
      <c r="B340" s="166"/>
      <c r="C340" s="223" t="s">
        <v>30</v>
      </c>
      <c r="D340" s="90" t="s">
        <v>153</v>
      </c>
      <c r="E340" s="75"/>
      <c r="F340" s="75"/>
      <c r="G340" s="85"/>
      <c r="H340" s="139"/>
      <c r="I340" s="291"/>
      <c r="L340" s="85"/>
    </row>
    <row r="341" spans="2:12" s="90" customFormat="1" ht="10.199999999999999" x14ac:dyDescent="0.25">
      <c r="B341" s="166"/>
      <c r="C341" s="223"/>
      <c r="E341" s="75"/>
      <c r="F341" s="75"/>
      <c r="G341" s="85"/>
      <c r="H341" s="139"/>
      <c r="I341" s="294"/>
      <c r="L341" s="85"/>
    </row>
    <row r="342" spans="2:12" s="90" customFormat="1" ht="10.8" thickBot="1" x14ac:dyDescent="0.3">
      <c r="B342" s="166"/>
      <c r="C342" s="223"/>
      <c r="E342" s="75"/>
      <c r="F342" s="75"/>
      <c r="G342" s="85"/>
      <c r="H342" s="139"/>
      <c r="I342" s="294"/>
      <c r="L342" s="85"/>
    </row>
    <row r="343" spans="2:12" ht="14.4" thickBot="1" x14ac:dyDescent="0.3">
      <c r="B343" s="330" t="s">
        <v>18</v>
      </c>
      <c r="C343" s="330"/>
      <c r="D343" s="331" t="s">
        <v>19</v>
      </c>
      <c r="E343" s="331"/>
      <c r="F343" s="331"/>
      <c r="G343" s="331"/>
      <c r="H343" s="331"/>
      <c r="I343" s="291" t="s">
        <v>20</v>
      </c>
    </row>
    <row r="344" spans="2:12" ht="14.4" thickBot="1" x14ac:dyDescent="0.3">
      <c r="B344" s="329" t="s">
        <v>158</v>
      </c>
      <c r="C344" s="329"/>
      <c r="D344" s="332" t="s">
        <v>218</v>
      </c>
      <c r="E344" s="332"/>
      <c r="F344" s="332"/>
      <c r="G344" s="332"/>
      <c r="H344" s="332"/>
      <c r="I344" s="297" t="s">
        <v>8</v>
      </c>
    </row>
    <row r="345" spans="2:12" ht="14.4" thickBot="1" x14ac:dyDescent="0.3">
      <c r="B345" s="328" t="s">
        <v>21</v>
      </c>
      <c r="C345" s="328"/>
      <c r="D345" s="141"/>
      <c r="E345" s="82" t="s">
        <v>22</v>
      </c>
      <c r="F345" s="82" t="s">
        <v>23</v>
      </c>
      <c r="G345" s="88" t="s">
        <v>24</v>
      </c>
      <c r="H345" s="89" t="s">
        <v>25</v>
      </c>
      <c r="I345" s="226" t="s">
        <v>26</v>
      </c>
    </row>
    <row r="346" spans="2:12" ht="14.4" thickBot="1" x14ac:dyDescent="0.3">
      <c r="B346" s="166">
        <v>12378</v>
      </c>
      <c r="C346" s="151" t="s">
        <v>9</v>
      </c>
      <c r="D346" s="84" t="s">
        <v>215</v>
      </c>
      <c r="E346" s="75" t="s">
        <v>22</v>
      </c>
      <c r="F346" s="140">
        <v>1.05</v>
      </c>
      <c r="G346" s="77">
        <v>1</v>
      </c>
      <c r="H346" s="139">
        <v>194.17</v>
      </c>
      <c r="I346" s="140">
        <f>F346*G346*H346</f>
        <v>203.8785</v>
      </c>
    </row>
    <row r="347" spans="2:12" ht="14.4" thickBot="1" x14ac:dyDescent="0.3">
      <c r="B347" s="328" t="s">
        <v>28</v>
      </c>
      <c r="C347" s="328"/>
      <c r="D347" s="141"/>
      <c r="E347" s="82" t="s">
        <v>22</v>
      </c>
      <c r="F347" s="82" t="s">
        <v>23</v>
      </c>
      <c r="G347" s="88" t="s">
        <v>24</v>
      </c>
      <c r="H347" s="89" t="s">
        <v>25</v>
      </c>
      <c r="I347" s="226" t="s">
        <v>26</v>
      </c>
    </row>
    <row r="348" spans="2:12" x14ac:dyDescent="0.25">
      <c r="B348" s="156">
        <v>88247</v>
      </c>
      <c r="C348" s="151" t="s">
        <v>1</v>
      </c>
      <c r="D348" s="84" t="s">
        <v>95</v>
      </c>
      <c r="E348" s="75" t="s">
        <v>2</v>
      </c>
      <c r="F348" s="140">
        <v>1</v>
      </c>
      <c r="G348" s="77">
        <v>0.3</v>
      </c>
      <c r="H348" s="139">
        <v>15.19</v>
      </c>
      <c r="I348" s="140">
        <f>F348*G348*H348</f>
        <v>4.5569999999999995</v>
      </c>
    </row>
    <row r="349" spans="2:12" ht="14.4" thickBot="1" x14ac:dyDescent="0.3">
      <c r="B349" s="156">
        <v>88264</v>
      </c>
      <c r="C349" s="151" t="s">
        <v>1</v>
      </c>
      <c r="D349" s="84" t="s">
        <v>3</v>
      </c>
      <c r="E349" s="75" t="s">
        <v>2</v>
      </c>
      <c r="F349" s="140">
        <v>1</v>
      </c>
      <c r="G349" s="77">
        <v>0.3</v>
      </c>
      <c r="H349" s="139">
        <v>19.53</v>
      </c>
      <c r="I349" s="140">
        <f>F349*G349*H349</f>
        <v>5.859</v>
      </c>
    </row>
    <row r="350" spans="2:12" ht="14.4" thickBot="1" x14ac:dyDescent="0.3">
      <c r="B350" s="328" t="s">
        <v>29</v>
      </c>
      <c r="C350" s="328"/>
      <c r="D350" s="328"/>
      <c r="E350" s="328"/>
      <c r="F350" s="328"/>
      <c r="G350" s="328"/>
      <c r="H350" s="328"/>
      <c r="I350" s="296">
        <f>SUM(I346:I349)</f>
        <v>214.2945</v>
      </c>
    </row>
    <row r="351" spans="2:12" s="90" customFormat="1" ht="10.199999999999999" x14ac:dyDescent="0.25">
      <c r="B351" s="166"/>
      <c r="C351" s="223" t="s">
        <v>30</v>
      </c>
      <c r="D351" s="90" t="s">
        <v>156</v>
      </c>
      <c r="E351" s="75"/>
      <c r="F351" s="75"/>
      <c r="G351" s="85"/>
      <c r="H351" s="139"/>
      <c r="I351" s="291"/>
      <c r="L351" s="85"/>
    </row>
    <row r="352" spans="2:12" s="90" customFormat="1" ht="10.199999999999999" x14ac:dyDescent="0.25">
      <c r="B352" s="166"/>
      <c r="C352" s="223"/>
      <c r="E352" s="75"/>
      <c r="F352" s="75"/>
      <c r="G352" s="85"/>
      <c r="H352" s="139"/>
      <c r="I352" s="294"/>
      <c r="L352" s="85"/>
    </row>
    <row r="353" spans="2:12" s="90" customFormat="1" ht="10.8" thickBot="1" x14ac:dyDescent="0.3">
      <c r="B353" s="166"/>
      <c r="C353" s="223"/>
      <c r="E353" s="75"/>
      <c r="F353" s="75"/>
      <c r="G353" s="85"/>
      <c r="H353" s="139"/>
      <c r="I353" s="294"/>
      <c r="L353" s="85"/>
    </row>
    <row r="354" spans="2:12" ht="14.4" thickBot="1" x14ac:dyDescent="0.3">
      <c r="B354" s="330" t="s">
        <v>18</v>
      </c>
      <c r="C354" s="330"/>
      <c r="D354" s="331" t="s">
        <v>19</v>
      </c>
      <c r="E354" s="331"/>
      <c r="F354" s="331"/>
      <c r="G354" s="331"/>
      <c r="H354" s="331"/>
      <c r="I354" s="291" t="s">
        <v>20</v>
      </c>
    </row>
    <row r="355" spans="2:12" ht="14.4" thickBot="1" x14ac:dyDescent="0.3">
      <c r="B355" s="329" t="s">
        <v>163</v>
      </c>
      <c r="C355" s="329"/>
      <c r="D355" s="332" t="s">
        <v>161</v>
      </c>
      <c r="E355" s="332"/>
      <c r="F355" s="332"/>
      <c r="G355" s="332"/>
      <c r="H355" s="332"/>
      <c r="I355" s="297" t="s">
        <v>472</v>
      </c>
    </row>
    <row r="356" spans="2:12" ht="14.4" thickBot="1" x14ac:dyDescent="0.3">
      <c r="B356" s="328" t="s">
        <v>21</v>
      </c>
      <c r="C356" s="328"/>
      <c r="D356" s="141"/>
      <c r="E356" s="82" t="s">
        <v>22</v>
      </c>
      <c r="F356" s="82" t="s">
        <v>23</v>
      </c>
      <c r="G356" s="88" t="s">
        <v>24</v>
      </c>
      <c r="H356" s="89" t="s">
        <v>25</v>
      </c>
      <c r="I356" s="226" t="s">
        <v>26</v>
      </c>
    </row>
    <row r="357" spans="2:12" ht="14.4" thickBot="1" x14ac:dyDescent="0.3">
      <c r="B357" s="156">
        <v>13756</v>
      </c>
      <c r="C357" s="151" t="s">
        <v>9</v>
      </c>
      <c r="D357" s="84" t="s">
        <v>160</v>
      </c>
      <c r="E357" s="75" t="s">
        <v>22</v>
      </c>
      <c r="F357" s="140">
        <v>1</v>
      </c>
      <c r="G357" s="77">
        <v>1</v>
      </c>
      <c r="H357" s="139">
        <v>198.6</v>
      </c>
      <c r="I357" s="140">
        <f>F357*G357*H357</f>
        <v>198.6</v>
      </c>
    </row>
    <row r="358" spans="2:12" ht="14.4" thickBot="1" x14ac:dyDescent="0.3">
      <c r="B358" s="328" t="s">
        <v>28</v>
      </c>
      <c r="C358" s="328"/>
      <c r="D358" s="141"/>
      <c r="E358" s="82" t="s">
        <v>22</v>
      </c>
      <c r="F358" s="82" t="s">
        <v>23</v>
      </c>
      <c r="G358" s="88" t="s">
        <v>24</v>
      </c>
      <c r="H358" s="89" t="s">
        <v>25</v>
      </c>
      <c r="I358" s="226" t="s">
        <v>26</v>
      </c>
    </row>
    <row r="359" spans="2:12" x14ac:dyDescent="0.25">
      <c r="B359" s="156">
        <v>88247</v>
      </c>
      <c r="C359" s="151" t="s">
        <v>1</v>
      </c>
      <c r="D359" s="84" t="s">
        <v>95</v>
      </c>
      <c r="E359" s="75" t="s">
        <v>2</v>
      </c>
      <c r="F359" s="140">
        <v>1</v>
      </c>
      <c r="G359" s="77">
        <v>3</v>
      </c>
      <c r="H359" s="139">
        <v>15.19</v>
      </c>
      <c r="I359" s="140">
        <f>F359*G359*H359</f>
        <v>45.57</v>
      </c>
    </row>
    <row r="360" spans="2:12" ht="14.4" thickBot="1" x14ac:dyDescent="0.3">
      <c r="B360" s="156">
        <v>88264</v>
      </c>
      <c r="C360" s="151" t="s">
        <v>1</v>
      </c>
      <c r="D360" s="84" t="s">
        <v>3</v>
      </c>
      <c r="E360" s="75" t="s">
        <v>2</v>
      </c>
      <c r="F360" s="140">
        <v>1</v>
      </c>
      <c r="G360" s="77">
        <v>3</v>
      </c>
      <c r="H360" s="139">
        <v>19.53</v>
      </c>
      <c r="I360" s="140">
        <f>F360*G360*H360</f>
        <v>58.59</v>
      </c>
    </row>
    <row r="361" spans="2:12" ht="14.4" thickBot="1" x14ac:dyDescent="0.3">
      <c r="B361" s="328" t="s">
        <v>29</v>
      </c>
      <c r="C361" s="328"/>
      <c r="D361" s="328"/>
      <c r="E361" s="328"/>
      <c r="F361" s="328"/>
      <c r="G361" s="328"/>
      <c r="H361" s="328"/>
      <c r="I361" s="296">
        <f>SUM(I357:I360)</f>
        <v>302.76</v>
      </c>
    </row>
    <row r="362" spans="2:12" s="90" customFormat="1" ht="10.199999999999999" x14ac:dyDescent="0.25">
      <c r="B362" s="166"/>
      <c r="C362" s="223" t="s">
        <v>30</v>
      </c>
      <c r="D362" s="90" t="s">
        <v>159</v>
      </c>
      <c r="E362" s="75"/>
      <c r="F362" s="75"/>
      <c r="G362" s="85"/>
      <c r="H362" s="139"/>
      <c r="I362" s="291"/>
      <c r="L362" s="85"/>
    </row>
    <row r="363" spans="2:12" s="90" customFormat="1" ht="10.199999999999999" x14ac:dyDescent="0.25">
      <c r="B363" s="166"/>
      <c r="C363" s="223"/>
      <c r="E363" s="75"/>
      <c r="F363" s="75"/>
      <c r="G363" s="85"/>
      <c r="H363" s="139"/>
      <c r="I363" s="294"/>
      <c r="L363" s="85"/>
    </row>
    <row r="364" spans="2:12" s="90" customFormat="1" ht="10.8" thickBot="1" x14ac:dyDescent="0.3">
      <c r="B364" s="166"/>
      <c r="C364" s="223"/>
      <c r="E364" s="75"/>
      <c r="F364" s="75"/>
      <c r="G364" s="85"/>
      <c r="H364" s="139"/>
      <c r="I364" s="294"/>
      <c r="L364" s="85"/>
    </row>
    <row r="365" spans="2:12" ht="14.4" thickBot="1" x14ac:dyDescent="0.3">
      <c r="B365" s="330" t="s">
        <v>18</v>
      </c>
      <c r="C365" s="330"/>
      <c r="D365" s="331" t="s">
        <v>19</v>
      </c>
      <c r="E365" s="331"/>
      <c r="F365" s="331"/>
      <c r="G365" s="331"/>
      <c r="H365" s="331"/>
      <c r="I365" s="291" t="s">
        <v>20</v>
      </c>
    </row>
    <row r="366" spans="2:12" ht="14.4" thickBot="1" x14ac:dyDescent="0.3">
      <c r="B366" s="329" t="s">
        <v>183</v>
      </c>
      <c r="C366" s="329"/>
      <c r="D366" s="332" t="s">
        <v>164</v>
      </c>
      <c r="E366" s="332"/>
      <c r="F366" s="332"/>
      <c r="G366" s="332"/>
      <c r="H366" s="332"/>
      <c r="I366" s="297" t="s">
        <v>472</v>
      </c>
    </row>
    <row r="367" spans="2:12" ht="14.4" thickBot="1" x14ac:dyDescent="0.3">
      <c r="B367" s="328" t="s">
        <v>21</v>
      </c>
      <c r="C367" s="328"/>
      <c r="D367" s="141"/>
      <c r="E367" s="82" t="s">
        <v>22</v>
      </c>
      <c r="F367" s="82" t="s">
        <v>23</v>
      </c>
      <c r="G367" s="88" t="s">
        <v>24</v>
      </c>
      <c r="H367" s="89" t="s">
        <v>25</v>
      </c>
      <c r="I367" s="226" t="s">
        <v>26</v>
      </c>
    </row>
    <row r="368" spans="2:12" x14ac:dyDescent="0.25">
      <c r="B368" s="166">
        <v>3230</v>
      </c>
      <c r="C368" s="151" t="s">
        <v>9</v>
      </c>
      <c r="D368" s="84" t="s">
        <v>165</v>
      </c>
      <c r="E368" s="75" t="s">
        <v>22</v>
      </c>
      <c r="F368" s="140">
        <v>1</v>
      </c>
      <c r="G368" s="77">
        <v>1</v>
      </c>
      <c r="H368" s="299">
        <v>2793.72</v>
      </c>
      <c r="I368" s="140">
        <f>F368*G368*H368</f>
        <v>2793.72</v>
      </c>
    </row>
    <row r="369" spans="2:12" ht="14.4" thickBot="1" x14ac:dyDescent="0.3">
      <c r="B369" s="156">
        <v>863</v>
      </c>
      <c r="C369" s="151" t="s">
        <v>1</v>
      </c>
      <c r="D369" s="84" t="s">
        <v>168</v>
      </c>
      <c r="E369" s="75" t="s">
        <v>8</v>
      </c>
      <c r="F369" s="140">
        <v>1</v>
      </c>
      <c r="G369" s="77">
        <v>11</v>
      </c>
      <c r="H369" s="139">
        <v>29.74</v>
      </c>
      <c r="I369" s="140">
        <f>F369*G369*H369</f>
        <v>327.14</v>
      </c>
    </row>
    <row r="370" spans="2:12" ht="14.4" thickBot="1" x14ac:dyDescent="0.3">
      <c r="B370" s="328" t="s">
        <v>27</v>
      </c>
      <c r="C370" s="328"/>
      <c r="D370" s="141"/>
      <c r="E370" s="82" t="s">
        <v>22</v>
      </c>
      <c r="F370" s="82" t="s">
        <v>23</v>
      </c>
      <c r="G370" s="88" t="s">
        <v>24</v>
      </c>
      <c r="H370" s="89" t="s">
        <v>25</v>
      </c>
      <c r="I370" s="226" t="s">
        <v>26</v>
      </c>
    </row>
    <row r="371" spans="2:12" ht="27" customHeight="1" thickBot="1" x14ac:dyDescent="0.3">
      <c r="B371" s="156">
        <v>5928</v>
      </c>
      <c r="C371" s="151" t="s">
        <v>1</v>
      </c>
      <c r="D371" s="84" t="s">
        <v>166</v>
      </c>
      <c r="E371" s="75" t="s">
        <v>6</v>
      </c>
      <c r="F371" s="140">
        <v>1</v>
      </c>
      <c r="G371" s="77">
        <v>7.9000000000000001E-2</v>
      </c>
      <c r="H371" s="139">
        <v>229.82</v>
      </c>
      <c r="I371" s="140">
        <f>F371*G371*H371</f>
        <v>18.15578</v>
      </c>
    </row>
    <row r="372" spans="2:12" ht="14.4" thickBot="1" x14ac:dyDescent="0.3">
      <c r="B372" s="328" t="s">
        <v>28</v>
      </c>
      <c r="C372" s="328"/>
      <c r="D372" s="141"/>
      <c r="E372" s="82" t="s">
        <v>22</v>
      </c>
      <c r="F372" s="82" t="s">
        <v>23</v>
      </c>
      <c r="G372" s="88" t="s">
        <v>24</v>
      </c>
      <c r="H372" s="89" t="s">
        <v>25</v>
      </c>
      <c r="I372" s="226" t="s">
        <v>26</v>
      </c>
    </row>
    <row r="373" spans="2:12" x14ac:dyDescent="0.25">
      <c r="B373" s="156">
        <v>88247</v>
      </c>
      <c r="C373" s="151" t="s">
        <v>1</v>
      </c>
      <c r="D373" s="84" t="s">
        <v>95</v>
      </c>
      <c r="E373" s="75" t="s">
        <v>2</v>
      </c>
      <c r="F373" s="140">
        <v>1</v>
      </c>
      <c r="G373" s="77">
        <v>1.431</v>
      </c>
      <c r="H373" s="139">
        <v>15.19</v>
      </c>
      <c r="I373" s="140">
        <f>F373*G373*H373</f>
        <v>21.736889999999999</v>
      </c>
    </row>
    <row r="374" spans="2:12" ht="14.4" thickBot="1" x14ac:dyDescent="0.3">
      <c r="B374" s="156">
        <v>88264</v>
      </c>
      <c r="C374" s="151" t="s">
        <v>1</v>
      </c>
      <c r="D374" s="84" t="s">
        <v>3</v>
      </c>
      <c r="E374" s="75" t="s">
        <v>2</v>
      </c>
      <c r="F374" s="140">
        <v>1</v>
      </c>
      <c r="G374" s="77">
        <v>4.6500000000000004</v>
      </c>
      <c r="H374" s="139">
        <v>19.53</v>
      </c>
      <c r="I374" s="140">
        <f>F374*G374*H374</f>
        <v>90.81450000000001</v>
      </c>
    </row>
    <row r="375" spans="2:12" ht="14.4" thickBot="1" x14ac:dyDescent="0.3">
      <c r="B375" s="328" t="s">
        <v>29</v>
      </c>
      <c r="C375" s="328"/>
      <c r="D375" s="328"/>
      <c r="E375" s="328"/>
      <c r="F375" s="328"/>
      <c r="G375" s="328"/>
      <c r="H375" s="328"/>
      <c r="I375" s="296">
        <f>SUM(I368:I374)</f>
        <v>3251.5671699999998</v>
      </c>
    </row>
    <row r="376" spans="2:12" s="90" customFormat="1" ht="10.199999999999999" x14ac:dyDescent="0.25">
      <c r="B376" s="166"/>
      <c r="C376" s="223" t="s">
        <v>30</v>
      </c>
      <c r="D376" s="90" t="s">
        <v>167</v>
      </c>
      <c r="E376" s="75"/>
      <c r="F376" s="75"/>
      <c r="G376" s="85"/>
      <c r="H376" s="139"/>
      <c r="I376" s="291"/>
      <c r="L376" s="85"/>
    </row>
    <row r="377" spans="2:12" s="90" customFormat="1" ht="10.199999999999999" x14ac:dyDescent="0.25">
      <c r="B377" s="166"/>
      <c r="C377" s="223"/>
      <c r="E377" s="75"/>
      <c r="F377" s="75"/>
      <c r="G377" s="85"/>
      <c r="H377" s="139"/>
      <c r="I377" s="294"/>
      <c r="L377" s="85"/>
    </row>
    <row r="378" spans="2:12" s="90" customFormat="1" ht="10.8" thickBot="1" x14ac:dyDescent="0.3">
      <c r="B378" s="166"/>
      <c r="C378" s="223"/>
      <c r="E378" s="75"/>
      <c r="F378" s="75"/>
      <c r="G378" s="85"/>
      <c r="H378" s="139"/>
      <c r="I378" s="294"/>
      <c r="L378" s="85"/>
    </row>
    <row r="379" spans="2:12" ht="14.4" thickBot="1" x14ac:dyDescent="0.3">
      <c r="B379" s="330" t="s">
        <v>18</v>
      </c>
      <c r="C379" s="330"/>
      <c r="D379" s="331" t="s">
        <v>19</v>
      </c>
      <c r="E379" s="331"/>
      <c r="F379" s="331"/>
      <c r="G379" s="331"/>
      <c r="H379" s="331"/>
      <c r="I379" s="291" t="s">
        <v>20</v>
      </c>
    </row>
    <row r="380" spans="2:12" ht="14.4" thickBot="1" x14ac:dyDescent="0.3">
      <c r="B380" s="329" t="s">
        <v>184</v>
      </c>
      <c r="C380" s="329"/>
      <c r="D380" s="332" t="s">
        <v>213</v>
      </c>
      <c r="E380" s="332"/>
      <c r="F380" s="332"/>
      <c r="G380" s="332"/>
      <c r="H380" s="332"/>
      <c r="I380" s="80" t="s">
        <v>472</v>
      </c>
    </row>
    <row r="381" spans="2:12" ht="14.4" thickBot="1" x14ac:dyDescent="0.3">
      <c r="B381" s="328" t="s">
        <v>27</v>
      </c>
      <c r="C381" s="328"/>
      <c r="D381" s="141"/>
      <c r="E381" s="82" t="s">
        <v>22</v>
      </c>
      <c r="F381" s="82" t="s">
        <v>23</v>
      </c>
      <c r="G381" s="88" t="s">
        <v>24</v>
      </c>
      <c r="H381" s="89" t="s">
        <v>25</v>
      </c>
      <c r="I381" s="226" t="s">
        <v>26</v>
      </c>
    </row>
    <row r="382" spans="2:12" x14ac:dyDescent="0.25">
      <c r="B382" s="156">
        <v>101616</v>
      </c>
      <c r="C382" s="151" t="s">
        <v>1</v>
      </c>
      <c r="D382" s="84" t="s">
        <v>207</v>
      </c>
      <c r="E382" s="75" t="s">
        <v>37</v>
      </c>
      <c r="F382" s="140">
        <v>1</v>
      </c>
      <c r="G382" s="77">
        <v>1</v>
      </c>
      <c r="H382" s="139">
        <v>4.37</v>
      </c>
      <c r="I382" s="140">
        <f t="shared" ref="I382:I390" si="12">F382*G382*H382</f>
        <v>4.37</v>
      </c>
    </row>
    <row r="383" spans="2:12" x14ac:dyDescent="0.25">
      <c r="B383" s="156">
        <v>97101</v>
      </c>
      <c r="C383" s="151" t="s">
        <v>1</v>
      </c>
      <c r="D383" s="84" t="s">
        <v>208</v>
      </c>
      <c r="E383" s="75" t="s">
        <v>37</v>
      </c>
      <c r="F383" s="140">
        <v>1</v>
      </c>
      <c r="G383" s="77">
        <v>1</v>
      </c>
      <c r="H383" s="139">
        <v>205.83</v>
      </c>
      <c r="I383" s="140">
        <f t="shared" si="12"/>
        <v>205.83</v>
      </c>
    </row>
    <row r="384" spans="2:12" ht="26.25" customHeight="1" x14ac:dyDescent="0.25">
      <c r="B384" s="156">
        <v>103322</v>
      </c>
      <c r="C384" s="151" t="s">
        <v>1</v>
      </c>
      <c r="D384" s="84" t="s">
        <v>720</v>
      </c>
      <c r="E384" s="75" t="s">
        <v>37</v>
      </c>
      <c r="F384" s="140">
        <v>1</v>
      </c>
      <c r="G384" s="77">
        <f>(2*0.83)+2</f>
        <v>3.66</v>
      </c>
      <c r="H384" s="139">
        <v>53.73</v>
      </c>
      <c r="I384" s="140">
        <f t="shared" si="12"/>
        <v>196.65180000000001</v>
      </c>
    </row>
    <row r="385" spans="2:12" x14ac:dyDescent="0.25">
      <c r="B385" s="156">
        <v>92267</v>
      </c>
      <c r="C385" s="151" t="s">
        <v>1</v>
      </c>
      <c r="D385" s="84" t="s">
        <v>209</v>
      </c>
      <c r="E385" s="75" t="s">
        <v>37</v>
      </c>
      <c r="F385" s="140">
        <v>1</v>
      </c>
      <c r="G385" s="77">
        <v>0.78</v>
      </c>
      <c r="H385" s="139">
        <v>68.819999999999993</v>
      </c>
      <c r="I385" s="140">
        <f t="shared" si="12"/>
        <v>53.679599999999994</v>
      </c>
    </row>
    <row r="386" spans="2:12" x14ac:dyDescent="0.25">
      <c r="B386" s="156">
        <v>92799</v>
      </c>
      <c r="C386" s="151" t="s">
        <v>1</v>
      </c>
      <c r="D386" s="84" t="s">
        <v>210</v>
      </c>
      <c r="E386" s="75" t="s">
        <v>82</v>
      </c>
      <c r="F386" s="140">
        <v>1</v>
      </c>
      <c r="G386" s="77">
        <v>2.5</v>
      </c>
      <c r="H386" s="139">
        <v>12.53</v>
      </c>
      <c r="I386" s="140">
        <f t="shared" si="12"/>
        <v>31.324999999999999</v>
      </c>
    </row>
    <row r="387" spans="2:12" ht="20.399999999999999" x14ac:dyDescent="0.25">
      <c r="B387" s="166">
        <v>87878</v>
      </c>
      <c r="C387" s="151" t="s">
        <v>1</v>
      </c>
      <c r="D387" s="84" t="s">
        <v>186</v>
      </c>
      <c r="E387" s="75" t="s">
        <v>37</v>
      </c>
      <c r="F387" s="140">
        <v>1</v>
      </c>
      <c r="G387" s="77">
        <f>(2*0.83)+2</f>
        <v>3.66</v>
      </c>
      <c r="H387" s="139">
        <v>3.73</v>
      </c>
      <c r="I387" s="140">
        <f>F387*G387*H387</f>
        <v>13.6518</v>
      </c>
    </row>
    <row r="388" spans="2:12" ht="30.6" x14ac:dyDescent="0.25">
      <c r="B388" s="166">
        <v>87529</v>
      </c>
      <c r="C388" s="151" t="s">
        <v>1</v>
      </c>
      <c r="D388" s="84" t="s">
        <v>187</v>
      </c>
      <c r="E388" s="75" t="s">
        <v>37</v>
      </c>
      <c r="F388" s="140">
        <v>1</v>
      </c>
      <c r="G388" s="77">
        <f>(2*0.83)+2</f>
        <v>3.66</v>
      </c>
      <c r="H388" s="139">
        <v>28.39</v>
      </c>
      <c r="I388" s="140">
        <f>F388*G388*H388</f>
        <v>103.90740000000001</v>
      </c>
    </row>
    <row r="389" spans="2:12" ht="12.75" customHeight="1" x14ac:dyDescent="0.25">
      <c r="B389" s="166">
        <v>98560</v>
      </c>
      <c r="C389" s="151" t="s">
        <v>1</v>
      </c>
      <c r="D389" s="84" t="s">
        <v>185</v>
      </c>
      <c r="E389" s="75" t="s">
        <v>37</v>
      </c>
      <c r="F389" s="140">
        <v>1</v>
      </c>
      <c r="G389" s="77">
        <v>0.78</v>
      </c>
      <c r="H389" s="139">
        <v>37.44</v>
      </c>
      <c r="I389" s="140">
        <f>F389*G389*H389</f>
        <v>29.203199999999999</v>
      </c>
    </row>
    <row r="390" spans="2:12" ht="20.399999999999999" x14ac:dyDescent="0.25">
      <c r="B390" s="166">
        <v>94969</v>
      </c>
      <c r="C390" s="151" t="s">
        <v>1</v>
      </c>
      <c r="D390" s="84" t="s">
        <v>211</v>
      </c>
      <c r="E390" s="75" t="s">
        <v>80</v>
      </c>
      <c r="F390" s="140">
        <v>1</v>
      </c>
      <c r="G390" s="77">
        <f>0.78*0.08</f>
        <v>6.2400000000000004E-2</v>
      </c>
      <c r="H390" s="139">
        <v>366.54</v>
      </c>
      <c r="I390" s="140">
        <f t="shared" si="12"/>
        <v>22.872096000000003</v>
      </c>
    </row>
    <row r="391" spans="2:12" ht="21" thickBot="1" x14ac:dyDescent="0.3">
      <c r="B391" s="166">
        <v>88489</v>
      </c>
      <c r="C391" s="151" t="s">
        <v>1</v>
      </c>
      <c r="D391" s="84" t="s">
        <v>212</v>
      </c>
      <c r="E391" s="75" t="s">
        <v>37</v>
      </c>
      <c r="F391" s="140">
        <v>1</v>
      </c>
      <c r="G391" s="77">
        <v>3.6</v>
      </c>
      <c r="H391" s="139">
        <v>12.15</v>
      </c>
      <c r="I391" s="140">
        <f>F391*G391*H391</f>
        <v>43.74</v>
      </c>
    </row>
    <row r="392" spans="2:12" ht="14.4" thickBot="1" x14ac:dyDescent="0.3">
      <c r="B392" s="328" t="s">
        <v>29</v>
      </c>
      <c r="C392" s="328"/>
      <c r="D392" s="328"/>
      <c r="E392" s="328"/>
      <c r="F392" s="328"/>
      <c r="G392" s="328"/>
      <c r="H392" s="328"/>
      <c r="I392" s="296">
        <f>SUM(I382:I391)</f>
        <v>705.23089600000014</v>
      </c>
    </row>
    <row r="393" spans="2:12" s="90" customFormat="1" ht="10.199999999999999" x14ac:dyDescent="0.25">
      <c r="B393" s="166"/>
      <c r="C393" s="223" t="s">
        <v>30</v>
      </c>
      <c r="D393" s="90" t="s">
        <v>189</v>
      </c>
      <c r="E393" s="75"/>
      <c r="F393" s="75"/>
      <c r="G393" s="85"/>
      <c r="H393" s="139"/>
      <c r="I393" s="291"/>
      <c r="L393" s="85"/>
    </row>
    <row r="394" spans="2:12" s="90" customFormat="1" ht="10.199999999999999" x14ac:dyDescent="0.25">
      <c r="B394" s="166"/>
      <c r="C394" s="223"/>
      <c r="E394" s="75"/>
      <c r="F394" s="75"/>
      <c r="G394" s="85"/>
      <c r="H394" s="139"/>
      <c r="I394" s="294"/>
      <c r="L394" s="85"/>
    </row>
    <row r="395" spans="2:12" s="90" customFormat="1" ht="10.8" thickBot="1" x14ac:dyDescent="0.3">
      <c r="B395" s="166"/>
      <c r="C395" s="223"/>
      <c r="E395" s="75"/>
      <c r="F395" s="75"/>
      <c r="G395" s="85"/>
      <c r="H395" s="139"/>
      <c r="I395" s="294"/>
      <c r="L395" s="85"/>
    </row>
    <row r="396" spans="2:12" ht="14.4" thickBot="1" x14ac:dyDescent="0.3">
      <c r="B396" s="330" t="s">
        <v>18</v>
      </c>
      <c r="C396" s="330"/>
      <c r="D396" s="331" t="s">
        <v>19</v>
      </c>
      <c r="E396" s="331"/>
      <c r="F396" s="331"/>
      <c r="G396" s="331"/>
      <c r="H396" s="331"/>
      <c r="I396" s="291" t="s">
        <v>20</v>
      </c>
    </row>
    <row r="397" spans="2:12" ht="14.4" thickBot="1" x14ac:dyDescent="0.3">
      <c r="B397" s="329" t="s">
        <v>188</v>
      </c>
      <c r="C397" s="329"/>
      <c r="D397" s="332" t="s">
        <v>856</v>
      </c>
      <c r="E397" s="332"/>
      <c r="F397" s="332"/>
      <c r="G397" s="332"/>
      <c r="H397" s="332"/>
      <c r="I397" s="80" t="s">
        <v>472</v>
      </c>
    </row>
    <row r="398" spans="2:12" ht="14.4" thickBot="1" x14ac:dyDescent="0.3">
      <c r="B398" s="328" t="s">
        <v>21</v>
      </c>
      <c r="C398" s="328"/>
      <c r="D398" s="141"/>
      <c r="E398" s="82" t="s">
        <v>22</v>
      </c>
      <c r="F398" s="82" t="s">
        <v>23</v>
      </c>
      <c r="G398" s="88" t="s">
        <v>24</v>
      </c>
      <c r="H398" s="89" t="s">
        <v>25</v>
      </c>
      <c r="I398" s="226" t="s">
        <v>26</v>
      </c>
    </row>
    <row r="399" spans="2:12" x14ac:dyDescent="0.25">
      <c r="B399" s="156">
        <v>867</v>
      </c>
      <c r="C399" s="151" t="s">
        <v>1</v>
      </c>
      <c r="D399" s="84" t="s">
        <v>192</v>
      </c>
      <c r="E399" s="75" t="s">
        <v>8</v>
      </c>
      <c r="F399" s="140">
        <v>1</v>
      </c>
      <c r="G399" s="147">
        <v>45</v>
      </c>
      <c r="H399" s="139">
        <v>41.42</v>
      </c>
      <c r="I399" s="140">
        <f t="shared" ref="I399:I407" si="13">F399*G399*H399</f>
        <v>1863.9</v>
      </c>
    </row>
    <row r="400" spans="2:12" x14ac:dyDescent="0.25">
      <c r="B400" s="166">
        <v>3406</v>
      </c>
      <c r="C400" s="151" t="s">
        <v>1</v>
      </c>
      <c r="D400" s="84" t="s">
        <v>193</v>
      </c>
      <c r="E400" s="75" t="s">
        <v>22</v>
      </c>
      <c r="F400" s="140">
        <v>1</v>
      </c>
      <c r="G400" s="147">
        <v>6</v>
      </c>
      <c r="H400" s="139">
        <v>28.13</v>
      </c>
      <c r="I400" s="140">
        <f t="shared" si="13"/>
        <v>168.78</v>
      </c>
    </row>
    <row r="401" spans="2:10" x14ac:dyDescent="0.25">
      <c r="B401" s="166">
        <v>10692</v>
      </c>
      <c r="C401" s="151" t="s">
        <v>9</v>
      </c>
      <c r="D401" s="84" t="s">
        <v>194</v>
      </c>
      <c r="E401" s="75" t="s">
        <v>22</v>
      </c>
      <c r="F401" s="140">
        <v>1</v>
      </c>
      <c r="G401" s="147">
        <v>4</v>
      </c>
      <c r="H401" s="139">
        <v>133.9</v>
      </c>
      <c r="I401" s="140">
        <f t="shared" si="13"/>
        <v>535.6</v>
      </c>
    </row>
    <row r="402" spans="2:10" ht="14.25" customHeight="1" x14ac:dyDescent="0.25">
      <c r="B402" s="156">
        <v>379</v>
      </c>
      <c r="C402" s="151" t="s">
        <v>1</v>
      </c>
      <c r="D402" s="84" t="s">
        <v>195</v>
      </c>
      <c r="E402" s="75" t="s">
        <v>22</v>
      </c>
      <c r="F402" s="140">
        <v>1</v>
      </c>
      <c r="G402" s="147">
        <v>12</v>
      </c>
      <c r="H402" s="139">
        <v>0.81</v>
      </c>
      <c r="I402" s="140">
        <f t="shared" si="13"/>
        <v>9.7200000000000006</v>
      </c>
    </row>
    <row r="403" spans="2:10" ht="20.399999999999999" x14ac:dyDescent="0.25">
      <c r="B403" s="156">
        <v>436</v>
      </c>
      <c r="C403" s="151" t="s">
        <v>1</v>
      </c>
      <c r="D403" s="84" t="s">
        <v>196</v>
      </c>
      <c r="E403" s="75" t="s">
        <v>22</v>
      </c>
      <c r="F403" s="140">
        <v>1</v>
      </c>
      <c r="G403" s="147">
        <v>4</v>
      </c>
      <c r="H403" s="139">
        <v>6.85</v>
      </c>
      <c r="I403" s="140">
        <f t="shared" si="13"/>
        <v>27.4</v>
      </c>
    </row>
    <row r="404" spans="2:10" x14ac:dyDescent="0.25">
      <c r="B404" s="156">
        <v>429</v>
      </c>
      <c r="C404" s="151" t="s">
        <v>1</v>
      </c>
      <c r="D404" s="84" t="s">
        <v>197</v>
      </c>
      <c r="E404" s="75" t="s">
        <v>22</v>
      </c>
      <c r="F404" s="140">
        <v>1</v>
      </c>
      <c r="G404" s="147">
        <v>4</v>
      </c>
      <c r="H404" s="139">
        <v>12.11</v>
      </c>
      <c r="I404" s="140">
        <f t="shared" si="13"/>
        <v>48.44</v>
      </c>
    </row>
    <row r="405" spans="2:10" x14ac:dyDescent="0.25">
      <c r="B405" s="156">
        <v>1692</v>
      </c>
      <c r="C405" s="151" t="s">
        <v>9</v>
      </c>
      <c r="D405" s="148" t="s">
        <v>216</v>
      </c>
      <c r="E405" s="75" t="s">
        <v>22</v>
      </c>
      <c r="F405" s="140">
        <v>1</v>
      </c>
      <c r="G405" s="147">
        <v>2</v>
      </c>
      <c r="H405" s="139">
        <v>18.149999999999999</v>
      </c>
      <c r="I405" s="140">
        <f t="shared" si="13"/>
        <v>36.299999999999997</v>
      </c>
    </row>
    <row r="406" spans="2:10" x14ac:dyDescent="0.25">
      <c r="B406" s="156">
        <v>3238</v>
      </c>
      <c r="C406" s="151" t="s">
        <v>9</v>
      </c>
      <c r="D406" s="84" t="s">
        <v>198</v>
      </c>
      <c r="E406" s="75" t="s">
        <v>22</v>
      </c>
      <c r="F406" s="140">
        <v>1</v>
      </c>
      <c r="G406" s="147">
        <v>4</v>
      </c>
      <c r="H406" s="139">
        <v>2.92</v>
      </c>
      <c r="I406" s="140">
        <f t="shared" si="13"/>
        <v>11.68</v>
      </c>
    </row>
    <row r="407" spans="2:10" x14ac:dyDescent="0.25">
      <c r="B407" s="156">
        <v>3174</v>
      </c>
      <c r="C407" s="151" t="s">
        <v>9</v>
      </c>
      <c r="D407" s="84" t="s">
        <v>199</v>
      </c>
      <c r="E407" s="75" t="s">
        <v>22</v>
      </c>
      <c r="F407" s="140">
        <v>1</v>
      </c>
      <c r="G407" s="147">
        <v>4</v>
      </c>
      <c r="H407" s="139">
        <v>7.7</v>
      </c>
      <c r="I407" s="140">
        <f t="shared" si="13"/>
        <v>30.8</v>
      </c>
    </row>
    <row r="408" spans="2:10" ht="20.399999999999999" x14ac:dyDescent="0.25">
      <c r="B408" s="156">
        <v>3380</v>
      </c>
      <c r="C408" s="151" t="s">
        <v>1</v>
      </c>
      <c r="D408" s="84" t="s">
        <v>191</v>
      </c>
      <c r="E408" s="75" t="s">
        <v>22</v>
      </c>
      <c r="F408" s="140">
        <v>1</v>
      </c>
      <c r="G408" s="147">
        <v>8</v>
      </c>
      <c r="H408" s="139">
        <v>53.46</v>
      </c>
      <c r="I408" s="140">
        <f t="shared" ref="I408:I416" si="14">F408*G408*H408</f>
        <v>427.68</v>
      </c>
    </row>
    <row r="409" spans="2:10" x14ac:dyDescent="0.25">
      <c r="B409" s="156">
        <v>407</v>
      </c>
      <c r="C409" s="151" t="s">
        <v>1</v>
      </c>
      <c r="D409" s="84" t="s">
        <v>200</v>
      </c>
      <c r="E409" s="75" t="s">
        <v>82</v>
      </c>
      <c r="F409" s="140">
        <v>1</v>
      </c>
      <c r="G409" s="147">
        <v>1.5</v>
      </c>
      <c r="H409" s="139">
        <v>64.89</v>
      </c>
      <c r="I409" s="140">
        <f t="shared" si="14"/>
        <v>97.335000000000008</v>
      </c>
    </row>
    <row r="410" spans="2:10" x14ac:dyDescent="0.25">
      <c r="B410" s="156">
        <v>10661</v>
      </c>
      <c r="C410" s="151" t="s">
        <v>9</v>
      </c>
      <c r="D410" s="84" t="s">
        <v>201</v>
      </c>
      <c r="E410" s="75" t="s">
        <v>22</v>
      </c>
      <c r="F410" s="140">
        <v>1</v>
      </c>
      <c r="G410" s="147">
        <v>3</v>
      </c>
      <c r="H410" s="139">
        <v>9.07</v>
      </c>
      <c r="I410" s="140">
        <f t="shared" si="14"/>
        <v>27.21</v>
      </c>
    </row>
    <row r="411" spans="2:10" x14ac:dyDescent="0.25">
      <c r="B411" s="156">
        <v>1564</v>
      </c>
      <c r="C411" s="151" t="s">
        <v>1</v>
      </c>
      <c r="D411" s="84" t="s">
        <v>956</v>
      </c>
      <c r="E411" s="75" t="s">
        <v>22</v>
      </c>
      <c r="F411" s="140">
        <v>1</v>
      </c>
      <c r="G411" s="147">
        <v>2</v>
      </c>
      <c r="H411" s="139">
        <v>10.050000000000001</v>
      </c>
      <c r="I411" s="140">
        <f t="shared" si="14"/>
        <v>20.100000000000001</v>
      </c>
    </row>
    <row r="412" spans="2:10" ht="20.399999999999999" x14ac:dyDescent="0.25">
      <c r="B412" s="156">
        <v>1581</v>
      </c>
      <c r="C412" s="151" t="s">
        <v>1</v>
      </c>
      <c r="D412" s="84" t="s">
        <v>202</v>
      </c>
      <c r="E412" s="75" t="s">
        <v>22</v>
      </c>
      <c r="F412" s="140">
        <v>1</v>
      </c>
      <c r="G412" s="147">
        <v>12</v>
      </c>
      <c r="H412" s="139">
        <v>8.83</v>
      </c>
      <c r="I412" s="140">
        <f t="shared" si="14"/>
        <v>105.96000000000001</v>
      </c>
    </row>
    <row r="413" spans="2:10" ht="20.399999999999999" x14ac:dyDescent="0.25">
      <c r="B413" s="156">
        <v>1562</v>
      </c>
      <c r="C413" s="151" t="s">
        <v>1</v>
      </c>
      <c r="D413" s="84" t="s">
        <v>204</v>
      </c>
      <c r="E413" s="75" t="s">
        <v>22</v>
      </c>
      <c r="F413" s="140">
        <v>1</v>
      </c>
      <c r="G413" s="147">
        <v>3</v>
      </c>
      <c r="H413" s="139">
        <v>12.47</v>
      </c>
      <c r="I413" s="140">
        <f t="shared" si="14"/>
        <v>37.410000000000004</v>
      </c>
    </row>
    <row r="414" spans="2:10" ht="20.399999999999999" x14ac:dyDescent="0.25">
      <c r="B414" s="156">
        <v>5047</v>
      </c>
      <c r="C414" s="151" t="s">
        <v>1</v>
      </c>
      <c r="D414" s="150" t="s">
        <v>203</v>
      </c>
      <c r="E414" s="151" t="s">
        <v>22</v>
      </c>
      <c r="F414" s="152">
        <v>1</v>
      </c>
      <c r="G414" s="153">
        <v>3</v>
      </c>
      <c r="H414" s="139">
        <v>166.2</v>
      </c>
      <c r="I414" s="140">
        <f t="shared" si="14"/>
        <v>498.59999999999997</v>
      </c>
    </row>
    <row r="415" spans="2:10" x14ac:dyDescent="0.25">
      <c r="B415" s="156">
        <v>444</v>
      </c>
      <c r="C415" s="151" t="s">
        <v>9</v>
      </c>
      <c r="D415" s="84" t="s">
        <v>205</v>
      </c>
      <c r="E415" s="75" t="s">
        <v>22</v>
      </c>
      <c r="F415" s="140">
        <v>1</v>
      </c>
      <c r="G415" s="147">
        <v>1</v>
      </c>
      <c r="H415" s="139">
        <v>1540</v>
      </c>
      <c r="I415" s="140">
        <f t="shared" si="14"/>
        <v>1540</v>
      </c>
    </row>
    <row r="416" spans="2:10" ht="14.4" thickBot="1" x14ac:dyDescent="0.3">
      <c r="B416" s="166"/>
      <c r="C416" s="151" t="s">
        <v>206</v>
      </c>
      <c r="D416" s="150" t="s">
        <v>747</v>
      </c>
      <c r="E416" s="151" t="s">
        <v>22</v>
      </c>
      <c r="F416" s="152">
        <v>1</v>
      </c>
      <c r="G416" s="153">
        <v>1</v>
      </c>
      <c r="H416" s="152">
        <v>32229.5</v>
      </c>
      <c r="I416" s="140">
        <f t="shared" si="14"/>
        <v>32229.5</v>
      </c>
      <c r="J416" s="104"/>
    </row>
    <row r="417" spans="2:12" ht="14.4" thickBot="1" x14ac:dyDescent="0.3">
      <c r="B417" s="328" t="s">
        <v>27</v>
      </c>
      <c r="C417" s="328"/>
      <c r="D417" s="141"/>
      <c r="E417" s="82" t="s">
        <v>22</v>
      </c>
      <c r="F417" s="82" t="s">
        <v>23</v>
      </c>
      <c r="G417" s="149" t="s">
        <v>24</v>
      </c>
      <c r="H417" s="89" t="s">
        <v>25</v>
      </c>
      <c r="I417" s="226" t="s">
        <v>26</v>
      </c>
    </row>
    <row r="418" spans="2:12" x14ac:dyDescent="0.25">
      <c r="B418" s="166" t="s">
        <v>49</v>
      </c>
      <c r="C418" s="166" t="s">
        <v>144</v>
      </c>
      <c r="D418" s="2" t="s">
        <v>143</v>
      </c>
      <c r="E418" s="75" t="s">
        <v>22</v>
      </c>
      <c r="F418" s="140">
        <v>1</v>
      </c>
      <c r="G418" s="147">
        <v>2</v>
      </c>
      <c r="H418" s="139">
        <f>$I$317</f>
        <v>229.68120000000002</v>
      </c>
      <c r="I418" s="140">
        <f t="shared" ref="I418:I424" si="15">F418*G418*H418</f>
        <v>459.36240000000004</v>
      </c>
    </row>
    <row r="419" spans="2:12" x14ac:dyDescent="0.25">
      <c r="B419" s="166" t="s">
        <v>49</v>
      </c>
      <c r="C419" s="166" t="s">
        <v>148</v>
      </c>
      <c r="D419" s="2" t="s">
        <v>147</v>
      </c>
      <c r="E419" s="75" t="s">
        <v>22</v>
      </c>
      <c r="F419" s="140">
        <v>1</v>
      </c>
      <c r="G419" s="147">
        <v>2</v>
      </c>
      <c r="H419" s="139">
        <f>$I$328</f>
        <v>56.772500000000001</v>
      </c>
      <c r="I419" s="140">
        <f t="shared" si="15"/>
        <v>113.545</v>
      </c>
    </row>
    <row r="420" spans="2:12" x14ac:dyDescent="0.25">
      <c r="B420" s="166" t="s">
        <v>49</v>
      </c>
      <c r="C420" s="166" t="s">
        <v>155</v>
      </c>
      <c r="D420" s="2" t="s">
        <v>154</v>
      </c>
      <c r="E420" s="75" t="s">
        <v>22</v>
      </c>
      <c r="F420" s="140">
        <v>1</v>
      </c>
      <c r="G420" s="147">
        <v>6</v>
      </c>
      <c r="H420" s="139">
        <f>$I$339</f>
        <v>37.504399999999997</v>
      </c>
      <c r="I420" s="140">
        <f t="shared" si="15"/>
        <v>225.02639999999997</v>
      </c>
    </row>
    <row r="421" spans="2:12" x14ac:dyDescent="0.25">
      <c r="B421" s="166" t="s">
        <v>49</v>
      </c>
      <c r="C421" s="166" t="s">
        <v>158</v>
      </c>
      <c r="D421" s="2" t="s">
        <v>174</v>
      </c>
      <c r="E421" s="75" t="s">
        <v>8</v>
      </c>
      <c r="F421" s="140">
        <v>1</v>
      </c>
      <c r="G421" s="147">
        <v>12</v>
      </c>
      <c r="H421" s="139">
        <f>$I$350</f>
        <v>214.2945</v>
      </c>
      <c r="I421" s="140">
        <f t="shared" si="15"/>
        <v>2571.5340000000001</v>
      </c>
    </row>
    <row r="422" spans="2:12" ht="20.399999999999999" x14ac:dyDescent="0.25">
      <c r="B422" s="166" t="s">
        <v>49</v>
      </c>
      <c r="C422" s="166" t="s">
        <v>163</v>
      </c>
      <c r="D422" s="84" t="s">
        <v>162</v>
      </c>
      <c r="E422" s="75" t="s">
        <v>22</v>
      </c>
      <c r="F422" s="140">
        <v>1</v>
      </c>
      <c r="G422" s="147">
        <v>9</v>
      </c>
      <c r="H422" s="139">
        <f>$I$361</f>
        <v>302.76</v>
      </c>
      <c r="I422" s="140">
        <f t="shared" si="15"/>
        <v>2724.84</v>
      </c>
    </row>
    <row r="423" spans="2:12" x14ac:dyDescent="0.25">
      <c r="B423" s="166" t="s">
        <v>49</v>
      </c>
      <c r="C423" s="166" t="s">
        <v>183</v>
      </c>
      <c r="D423" s="2" t="s">
        <v>169</v>
      </c>
      <c r="E423" s="75" t="s">
        <v>22</v>
      </c>
      <c r="F423" s="140">
        <v>1</v>
      </c>
      <c r="G423" s="147">
        <v>1</v>
      </c>
      <c r="H423" s="139">
        <f>$I$375</f>
        <v>3251.5671699999998</v>
      </c>
      <c r="I423" s="140">
        <f t="shared" si="15"/>
        <v>3251.5671699999998</v>
      </c>
    </row>
    <row r="424" spans="2:12" ht="14.4" thickBot="1" x14ac:dyDescent="0.3">
      <c r="B424" s="166" t="s">
        <v>49</v>
      </c>
      <c r="C424" s="166" t="s">
        <v>184</v>
      </c>
      <c r="D424" s="3" t="s">
        <v>214</v>
      </c>
      <c r="E424" s="75" t="s">
        <v>22</v>
      </c>
      <c r="F424" s="140">
        <v>1</v>
      </c>
      <c r="G424" s="147">
        <v>1</v>
      </c>
      <c r="H424" s="139">
        <f>$I$392</f>
        <v>705.23089600000014</v>
      </c>
      <c r="I424" s="140">
        <f t="shared" si="15"/>
        <v>705.23089600000014</v>
      </c>
    </row>
    <row r="425" spans="2:12" ht="14.4" thickBot="1" x14ac:dyDescent="0.3">
      <c r="B425" s="328" t="s">
        <v>28</v>
      </c>
      <c r="C425" s="328"/>
      <c r="D425" s="141"/>
      <c r="E425" s="82" t="s">
        <v>22</v>
      </c>
      <c r="F425" s="82" t="s">
        <v>23</v>
      </c>
      <c r="G425" s="88" t="s">
        <v>24</v>
      </c>
      <c r="H425" s="89" t="s">
        <v>25</v>
      </c>
      <c r="I425" s="226" t="s">
        <v>26</v>
      </c>
    </row>
    <row r="426" spans="2:12" x14ac:dyDescent="0.25">
      <c r="B426" s="156">
        <v>88247</v>
      </c>
      <c r="C426" s="151" t="s">
        <v>1</v>
      </c>
      <c r="D426" s="84" t="s">
        <v>95</v>
      </c>
      <c r="E426" s="75" t="s">
        <v>2</v>
      </c>
      <c r="F426" s="140">
        <v>1</v>
      </c>
      <c r="G426" s="77">
        <v>49.44</v>
      </c>
      <c r="H426" s="139">
        <v>15.19</v>
      </c>
      <c r="I426" s="140">
        <f>F426*G426*H426</f>
        <v>750.9935999999999</v>
      </c>
    </row>
    <row r="427" spans="2:12" ht="14.4" thickBot="1" x14ac:dyDescent="0.3">
      <c r="B427" s="156">
        <v>88264</v>
      </c>
      <c r="C427" s="151" t="s">
        <v>1</v>
      </c>
      <c r="D427" s="84" t="s">
        <v>3</v>
      </c>
      <c r="E427" s="75" t="s">
        <v>2</v>
      </c>
      <c r="F427" s="140">
        <v>1</v>
      </c>
      <c r="G427" s="77">
        <v>72.099999999999994</v>
      </c>
      <c r="H427" s="139">
        <v>19.53</v>
      </c>
      <c r="I427" s="140">
        <f>F427*G427*H427</f>
        <v>1408.1130000000001</v>
      </c>
    </row>
    <row r="428" spans="2:12" ht="14.4" thickBot="1" x14ac:dyDescent="0.3">
      <c r="B428" s="328" t="s">
        <v>29</v>
      </c>
      <c r="C428" s="328"/>
      <c r="D428" s="328"/>
      <c r="E428" s="328"/>
      <c r="F428" s="328"/>
      <c r="G428" s="328"/>
      <c r="H428" s="328"/>
      <c r="I428" s="296">
        <f>SUM(I399:I427)</f>
        <v>49926.627466000005</v>
      </c>
    </row>
    <row r="429" spans="2:12" s="90" customFormat="1" ht="10.199999999999999" x14ac:dyDescent="0.25">
      <c r="B429" s="166"/>
      <c r="C429" s="223" t="s">
        <v>30</v>
      </c>
      <c r="D429" s="90" t="s">
        <v>190</v>
      </c>
      <c r="E429" s="75"/>
      <c r="F429" s="75"/>
      <c r="G429" s="85"/>
      <c r="H429" s="139"/>
      <c r="I429" s="291"/>
      <c r="L429" s="85"/>
    </row>
    <row r="430" spans="2:12" s="90" customFormat="1" ht="10.199999999999999" x14ac:dyDescent="0.25">
      <c r="B430" s="166"/>
      <c r="C430" s="223"/>
      <c r="E430" s="75"/>
      <c r="F430" s="75"/>
      <c r="G430" s="85"/>
      <c r="H430" s="139"/>
      <c r="I430" s="294"/>
      <c r="L430" s="85"/>
    </row>
    <row r="431" spans="2:12" s="90" customFormat="1" ht="10.8" thickBot="1" x14ac:dyDescent="0.3">
      <c r="B431" s="166"/>
      <c r="C431" s="223"/>
      <c r="E431" s="75"/>
      <c r="F431" s="75"/>
      <c r="G431" s="85"/>
      <c r="H431" s="139"/>
      <c r="I431" s="294"/>
      <c r="L431" s="85"/>
    </row>
    <row r="432" spans="2:12" ht="14.4" thickBot="1" x14ac:dyDescent="0.3">
      <c r="B432" s="330" t="s">
        <v>18</v>
      </c>
      <c r="C432" s="330"/>
      <c r="D432" s="331" t="s">
        <v>19</v>
      </c>
      <c r="E432" s="331"/>
      <c r="F432" s="331"/>
      <c r="G432" s="331"/>
      <c r="H432" s="331"/>
      <c r="I432" s="291" t="s">
        <v>20</v>
      </c>
    </row>
    <row r="433" spans="2:12" ht="14.4" thickBot="1" x14ac:dyDescent="0.3">
      <c r="B433" s="329" t="s">
        <v>219</v>
      </c>
      <c r="C433" s="329"/>
      <c r="D433" s="332" t="s">
        <v>774</v>
      </c>
      <c r="E433" s="332"/>
      <c r="F433" s="332"/>
      <c r="G433" s="332"/>
      <c r="H433" s="332"/>
      <c r="I433" s="80" t="s">
        <v>472</v>
      </c>
    </row>
    <row r="434" spans="2:12" ht="14.4" thickBot="1" x14ac:dyDescent="0.3">
      <c r="B434" s="328" t="s">
        <v>21</v>
      </c>
      <c r="C434" s="328"/>
      <c r="D434" s="141"/>
      <c r="E434" s="82" t="s">
        <v>22</v>
      </c>
      <c r="F434" s="82" t="s">
        <v>23</v>
      </c>
      <c r="G434" s="88" t="s">
        <v>24</v>
      </c>
      <c r="H434" s="89" t="s">
        <v>25</v>
      </c>
      <c r="I434" s="226" t="s">
        <v>26</v>
      </c>
    </row>
    <row r="435" spans="2:12" ht="14.4" thickBot="1" x14ac:dyDescent="0.3">
      <c r="B435" s="166"/>
      <c r="C435" s="151" t="s">
        <v>206</v>
      </c>
      <c r="D435" s="84" t="s">
        <v>775</v>
      </c>
      <c r="E435" s="75" t="s">
        <v>22</v>
      </c>
      <c r="F435" s="140">
        <v>1</v>
      </c>
      <c r="G435" s="77">
        <v>1</v>
      </c>
      <c r="H435" s="139">
        <v>478.27</v>
      </c>
      <c r="I435" s="140">
        <f>F435*G435*H435</f>
        <v>478.27</v>
      </c>
      <c r="J435" s="104"/>
    </row>
    <row r="436" spans="2:12" ht="14.4" thickBot="1" x14ac:dyDescent="0.3">
      <c r="B436" s="328" t="s">
        <v>28</v>
      </c>
      <c r="C436" s="328"/>
      <c r="D436" s="141"/>
      <c r="E436" s="82" t="s">
        <v>22</v>
      </c>
      <c r="F436" s="82" t="s">
        <v>23</v>
      </c>
      <c r="G436" s="88" t="s">
        <v>24</v>
      </c>
      <c r="H436" s="89" t="s">
        <v>25</v>
      </c>
      <c r="I436" s="226" t="s">
        <v>26</v>
      </c>
    </row>
    <row r="437" spans="2:12" x14ac:dyDescent="0.25">
      <c r="B437" s="156">
        <v>88316</v>
      </c>
      <c r="C437" s="151" t="s">
        <v>1</v>
      </c>
      <c r="D437" s="84" t="s">
        <v>651</v>
      </c>
      <c r="E437" s="75" t="s">
        <v>2</v>
      </c>
      <c r="F437" s="140">
        <v>1</v>
      </c>
      <c r="G437" s="77">
        <v>2</v>
      </c>
      <c r="H437" s="139">
        <v>15.16</v>
      </c>
      <c r="I437" s="140">
        <f>F437*G437*H437</f>
        <v>30.32</v>
      </c>
    </row>
    <row r="438" spans="2:12" x14ac:dyDescent="0.25">
      <c r="B438" s="156">
        <v>49</v>
      </c>
      <c r="C438" s="151" t="s">
        <v>9</v>
      </c>
      <c r="D438" s="84" t="s">
        <v>777</v>
      </c>
      <c r="E438" s="75" t="s">
        <v>2</v>
      </c>
      <c r="F438" s="140">
        <v>1</v>
      </c>
      <c r="G438" s="77">
        <v>2</v>
      </c>
      <c r="H438" s="139">
        <v>6.63</v>
      </c>
      <c r="I438" s="140">
        <f>F438*G438*H438</f>
        <v>13.26</v>
      </c>
    </row>
    <row r="439" spans="2:12" ht="14.4" thickBot="1" x14ac:dyDescent="0.3">
      <c r="B439" s="156">
        <v>10592</v>
      </c>
      <c r="C439" s="151" t="s">
        <v>9</v>
      </c>
      <c r="D439" s="84" t="s">
        <v>778</v>
      </c>
      <c r="E439" s="75" t="s">
        <v>2</v>
      </c>
      <c r="F439" s="140">
        <v>1</v>
      </c>
      <c r="G439" s="77">
        <v>2</v>
      </c>
      <c r="H439" s="139">
        <v>3.45</v>
      </c>
      <c r="I439" s="140">
        <f>F439*G439*H439</f>
        <v>6.9</v>
      </c>
    </row>
    <row r="440" spans="2:12" ht="14.4" thickBot="1" x14ac:dyDescent="0.3">
      <c r="B440" s="328" t="s">
        <v>29</v>
      </c>
      <c r="C440" s="328"/>
      <c r="D440" s="328"/>
      <c r="E440" s="328"/>
      <c r="F440" s="328"/>
      <c r="G440" s="328"/>
      <c r="H440" s="328"/>
      <c r="I440" s="296">
        <f>SUM(I435:I439)</f>
        <v>528.75</v>
      </c>
    </row>
    <row r="441" spans="2:12" s="90" customFormat="1" ht="10.199999999999999" x14ac:dyDescent="0.25">
      <c r="B441" s="166"/>
      <c r="C441" s="223" t="s">
        <v>30</v>
      </c>
      <c r="D441" s="90" t="s">
        <v>776</v>
      </c>
      <c r="E441" s="75"/>
      <c r="F441" s="75"/>
      <c r="G441" s="85"/>
      <c r="H441" s="139"/>
      <c r="I441" s="293"/>
      <c r="L441" s="85"/>
    </row>
    <row r="442" spans="2:12" s="90" customFormat="1" ht="10.199999999999999" x14ac:dyDescent="0.25">
      <c r="B442" s="166"/>
      <c r="C442" s="223"/>
      <c r="E442" s="75"/>
      <c r="F442" s="75"/>
      <c r="G442" s="85"/>
      <c r="H442" s="139"/>
      <c r="I442" s="295"/>
      <c r="L442" s="85"/>
    </row>
    <row r="443" spans="2:12" s="90" customFormat="1" ht="10.8" thickBot="1" x14ac:dyDescent="0.3">
      <c r="B443" s="166"/>
      <c r="C443" s="223"/>
      <c r="E443" s="75"/>
      <c r="F443" s="75"/>
      <c r="G443" s="85"/>
      <c r="H443" s="139"/>
      <c r="I443" s="292"/>
      <c r="L443" s="85"/>
    </row>
    <row r="444" spans="2:12" ht="14.4" thickBot="1" x14ac:dyDescent="0.3">
      <c r="B444" s="330" t="s">
        <v>18</v>
      </c>
      <c r="C444" s="330"/>
      <c r="D444" s="331" t="s">
        <v>19</v>
      </c>
      <c r="E444" s="331"/>
      <c r="F444" s="331"/>
      <c r="G444" s="331"/>
      <c r="H444" s="331"/>
      <c r="I444" s="291" t="s">
        <v>20</v>
      </c>
    </row>
    <row r="445" spans="2:12" ht="14.4" thickBot="1" x14ac:dyDescent="0.3">
      <c r="B445" s="329" t="s">
        <v>224</v>
      </c>
      <c r="C445" s="329"/>
      <c r="D445" s="332" t="s">
        <v>782</v>
      </c>
      <c r="E445" s="332"/>
      <c r="F445" s="332"/>
      <c r="G445" s="332"/>
      <c r="H445" s="332"/>
      <c r="I445" s="80" t="s">
        <v>8</v>
      </c>
    </row>
    <row r="446" spans="2:12" ht="14.4" thickBot="1" x14ac:dyDescent="0.3">
      <c r="B446" s="328" t="s">
        <v>21</v>
      </c>
      <c r="C446" s="328"/>
      <c r="D446" s="141"/>
      <c r="E446" s="82" t="s">
        <v>22</v>
      </c>
      <c r="F446" s="82" t="s">
        <v>23</v>
      </c>
      <c r="G446" s="88" t="s">
        <v>24</v>
      </c>
      <c r="H446" s="89" t="s">
        <v>25</v>
      </c>
      <c r="I446" s="226" t="s">
        <v>26</v>
      </c>
    </row>
    <row r="447" spans="2:12" ht="21" thickBot="1" x14ac:dyDescent="0.3">
      <c r="B447" s="154">
        <v>2446</v>
      </c>
      <c r="C447" s="151" t="s">
        <v>1</v>
      </c>
      <c r="D447" s="84" t="s">
        <v>780</v>
      </c>
      <c r="E447" s="75" t="s">
        <v>8</v>
      </c>
      <c r="F447" s="140">
        <v>1</v>
      </c>
      <c r="G447" s="77">
        <v>1</v>
      </c>
      <c r="H447" s="139">
        <v>5.01</v>
      </c>
      <c r="I447" s="140">
        <f>F447*G447*H447</f>
        <v>5.01</v>
      </c>
    </row>
    <row r="448" spans="2:12" ht="14.4" thickBot="1" x14ac:dyDescent="0.3">
      <c r="B448" s="328" t="s">
        <v>28</v>
      </c>
      <c r="C448" s="328"/>
      <c r="D448" s="141"/>
      <c r="E448" s="82" t="s">
        <v>22</v>
      </c>
      <c r="F448" s="82" t="s">
        <v>23</v>
      </c>
      <c r="G448" s="88" t="s">
        <v>24</v>
      </c>
      <c r="H448" s="89" t="s">
        <v>25</v>
      </c>
      <c r="I448" s="226" t="s">
        <v>26</v>
      </c>
    </row>
    <row r="449" spans="2:12" x14ac:dyDescent="0.25">
      <c r="B449" s="156">
        <v>88267</v>
      </c>
      <c r="C449" s="151" t="s">
        <v>1</v>
      </c>
      <c r="D449" s="84" t="s">
        <v>253</v>
      </c>
      <c r="E449" s="75" t="s">
        <v>2</v>
      </c>
      <c r="F449" s="140">
        <v>1</v>
      </c>
      <c r="G449" s="77">
        <v>0.48</v>
      </c>
      <c r="H449" s="139">
        <v>18.72</v>
      </c>
      <c r="I449" s="140">
        <f t="shared" ref="I449:I450" si="16">F449*G449*H449</f>
        <v>8.9855999999999998</v>
      </c>
    </row>
    <row r="450" spans="2:12" ht="14.4" thickBot="1" x14ac:dyDescent="0.3">
      <c r="B450" s="156">
        <v>88316</v>
      </c>
      <c r="C450" s="151" t="s">
        <v>1</v>
      </c>
      <c r="D450" s="84" t="s">
        <v>651</v>
      </c>
      <c r="E450" s="75" t="s">
        <v>2</v>
      </c>
      <c r="F450" s="140">
        <v>1</v>
      </c>
      <c r="G450" s="77">
        <v>0.51</v>
      </c>
      <c r="H450" s="139">
        <v>15.16</v>
      </c>
      <c r="I450" s="140">
        <f t="shared" si="16"/>
        <v>7.7316000000000003</v>
      </c>
    </row>
    <row r="451" spans="2:12" ht="14.4" thickBot="1" x14ac:dyDescent="0.3">
      <c r="B451" s="328" t="s">
        <v>29</v>
      </c>
      <c r="C451" s="328"/>
      <c r="D451" s="328"/>
      <c r="E451" s="328"/>
      <c r="F451" s="328"/>
      <c r="G451" s="328"/>
      <c r="H451" s="328"/>
      <c r="I451" s="296">
        <f>SUM(I447:I450)</f>
        <v>21.7272</v>
      </c>
    </row>
    <row r="452" spans="2:12" s="90" customFormat="1" ht="10.199999999999999" x14ac:dyDescent="0.25">
      <c r="B452" s="166"/>
      <c r="C452" s="223" t="s">
        <v>30</v>
      </c>
      <c r="D452" s="90" t="s">
        <v>781</v>
      </c>
      <c r="E452" s="75"/>
      <c r="F452" s="75"/>
      <c r="G452" s="85"/>
      <c r="H452" s="139"/>
      <c r="I452" s="293"/>
      <c r="L452" s="85"/>
    </row>
    <row r="453" spans="2:12" s="90" customFormat="1" ht="10.199999999999999" x14ac:dyDescent="0.25">
      <c r="B453" s="166"/>
      <c r="C453" s="223"/>
      <c r="E453" s="75"/>
      <c r="F453" s="75"/>
      <c r="G453" s="85"/>
      <c r="H453" s="139"/>
      <c r="I453" s="295"/>
      <c r="L453" s="85"/>
    </row>
    <row r="454" spans="2:12" s="90" customFormat="1" ht="10.8" thickBot="1" x14ac:dyDescent="0.3">
      <c r="B454" s="166"/>
      <c r="C454" s="223"/>
      <c r="E454" s="75"/>
      <c r="F454" s="75"/>
      <c r="G454" s="85"/>
      <c r="H454" s="139"/>
      <c r="I454" s="292"/>
      <c r="L454" s="85"/>
    </row>
    <row r="455" spans="2:12" ht="14.4" thickBot="1" x14ac:dyDescent="0.3">
      <c r="B455" s="330" t="s">
        <v>18</v>
      </c>
      <c r="C455" s="330"/>
      <c r="D455" s="331" t="s">
        <v>19</v>
      </c>
      <c r="E455" s="331"/>
      <c r="F455" s="331"/>
      <c r="G455" s="331"/>
      <c r="H455" s="331"/>
      <c r="I455" s="291" t="s">
        <v>20</v>
      </c>
    </row>
    <row r="456" spans="2:12" ht="14.4" thickBot="1" x14ac:dyDescent="0.3">
      <c r="B456" s="329" t="s">
        <v>228</v>
      </c>
      <c r="C456" s="329"/>
      <c r="D456" s="332" t="s">
        <v>802</v>
      </c>
      <c r="E456" s="332"/>
      <c r="F456" s="332"/>
      <c r="G456" s="332"/>
      <c r="H456" s="332"/>
      <c r="I456" s="80" t="s">
        <v>8</v>
      </c>
    </row>
    <row r="457" spans="2:12" ht="14.4" thickBot="1" x14ac:dyDescent="0.3">
      <c r="B457" s="328" t="s">
        <v>21</v>
      </c>
      <c r="C457" s="328"/>
      <c r="D457" s="141"/>
      <c r="E457" s="82" t="s">
        <v>22</v>
      </c>
      <c r="F457" s="82" t="s">
        <v>23</v>
      </c>
      <c r="G457" s="88" t="s">
        <v>24</v>
      </c>
      <c r="H457" s="89" t="s">
        <v>25</v>
      </c>
      <c r="I457" s="226" t="s">
        <v>26</v>
      </c>
    </row>
    <row r="458" spans="2:12" ht="21" thickBot="1" x14ac:dyDescent="0.3">
      <c r="B458" s="154">
        <v>2442</v>
      </c>
      <c r="C458" s="151" t="s">
        <v>1</v>
      </c>
      <c r="D458" s="84" t="s">
        <v>803</v>
      </c>
      <c r="E458" s="75" t="s">
        <v>8</v>
      </c>
      <c r="F458" s="140">
        <v>1</v>
      </c>
      <c r="G458" s="77">
        <v>1</v>
      </c>
      <c r="H458" s="139">
        <v>7.02</v>
      </c>
      <c r="I458" s="140">
        <f>F458*G458*H458</f>
        <v>7.02</v>
      </c>
    </row>
    <row r="459" spans="2:12" ht="14.4" thickBot="1" x14ac:dyDescent="0.3">
      <c r="B459" s="328" t="s">
        <v>28</v>
      </c>
      <c r="C459" s="328"/>
      <c r="D459" s="141"/>
      <c r="E459" s="82" t="s">
        <v>22</v>
      </c>
      <c r="F459" s="82" t="s">
        <v>23</v>
      </c>
      <c r="G459" s="88" t="s">
        <v>24</v>
      </c>
      <c r="H459" s="89" t="s">
        <v>25</v>
      </c>
      <c r="I459" s="226" t="s">
        <v>26</v>
      </c>
    </row>
    <row r="460" spans="2:12" x14ac:dyDescent="0.25">
      <c r="B460" s="156">
        <v>88267</v>
      </c>
      <c r="C460" s="151" t="s">
        <v>1</v>
      </c>
      <c r="D460" s="84" t="s">
        <v>253</v>
      </c>
      <c r="E460" s="75" t="s">
        <v>2</v>
      </c>
      <c r="F460" s="140">
        <v>1</v>
      </c>
      <c r="G460" s="77">
        <v>0.48</v>
      </c>
      <c r="H460" s="139">
        <v>18.72</v>
      </c>
      <c r="I460" s="140">
        <f t="shared" ref="I460:I461" si="17">F460*G460*H460</f>
        <v>8.9855999999999998</v>
      </c>
    </row>
    <row r="461" spans="2:12" ht="14.4" thickBot="1" x14ac:dyDescent="0.3">
      <c r="B461" s="156">
        <v>88316</v>
      </c>
      <c r="C461" s="151" t="s">
        <v>1</v>
      </c>
      <c r="D461" s="84" t="s">
        <v>651</v>
      </c>
      <c r="E461" s="75" t="s">
        <v>2</v>
      </c>
      <c r="F461" s="140">
        <v>1</v>
      </c>
      <c r="G461" s="77">
        <v>0.51</v>
      </c>
      <c r="H461" s="139">
        <v>15.16</v>
      </c>
      <c r="I461" s="140">
        <f t="shared" si="17"/>
        <v>7.7316000000000003</v>
      </c>
    </row>
    <row r="462" spans="2:12" ht="14.4" thickBot="1" x14ac:dyDescent="0.3">
      <c r="B462" s="328" t="s">
        <v>29</v>
      </c>
      <c r="C462" s="328"/>
      <c r="D462" s="328"/>
      <c r="E462" s="328"/>
      <c r="F462" s="328"/>
      <c r="G462" s="328"/>
      <c r="H462" s="328"/>
      <c r="I462" s="296">
        <f>SUM(I458:I461)</f>
        <v>23.737200000000001</v>
      </c>
    </row>
    <row r="463" spans="2:12" s="90" customFormat="1" ht="10.199999999999999" x14ac:dyDescent="0.25">
      <c r="B463" s="166"/>
      <c r="C463" s="223" t="s">
        <v>30</v>
      </c>
      <c r="D463" s="90" t="s">
        <v>781</v>
      </c>
      <c r="E463" s="75"/>
      <c r="F463" s="75"/>
      <c r="G463" s="85"/>
      <c r="H463" s="139"/>
      <c r="I463" s="293"/>
      <c r="L463" s="85"/>
    </row>
    <row r="464" spans="2:12" s="90" customFormat="1" ht="10.199999999999999" x14ac:dyDescent="0.25">
      <c r="B464" s="166"/>
      <c r="C464" s="223"/>
      <c r="E464" s="75"/>
      <c r="F464" s="75"/>
      <c r="G464" s="85"/>
      <c r="H464" s="139"/>
      <c r="I464" s="295"/>
      <c r="L464" s="85"/>
    </row>
    <row r="465" spans="2:12" s="90" customFormat="1" ht="10.8" thickBot="1" x14ac:dyDescent="0.3">
      <c r="B465" s="166"/>
      <c r="C465" s="223"/>
      <c r="E465" s="75"/>
      <c r="F465" s="75"/>
      <c r="G465" s="85"/>
      <c r="H465" s="139"/>
      <c r="I465" s="292"/>
      <c r="L465" s="85"/>
    </row>
    <row r="466" spans="2:12" ht="14.4" thickBot="1" x14ac:dyDescent="0.3">
      <c r="B466" s="330" t="s">
        <v>18</v>
      </c>
      <c r="C466" s="330"/>
      <c r="D466" s="331" t="s">
        <v>19</v>
      </c>
      <c r="E466" s="331"/>
      <c r="F466" s="331"/>
      <c r="G466" s="331"/>
      <c r="H466" s="331"/>
      <c r="I466" s="291" t="s">
        <v>20</v>
      </c>
    </row>
    <row r="467" spans="2:12" ht="14.4" thickBot="1" x14ac:dyDescent="0.3">
      <c r="B467" s="329" t="s">
        <v>234</v>
      </c>
      <c r="C467" s="329"/>
      <c r="D467" s="332" t="s">
        <v>786</v>
      </c>
      <c r="E467" s="332"/>
      <c r="F467" s="332"/>
      <c r="G467" s="332"/>
      <c r="H467" s="332"/>
      <c r="I467" s="80" t="s">
        <v>472</v>
      </c>
    </row>
    <row r="468" spans="2:12" ht="14.4" thickBot="1" x14ac:dyDescent="0.3">
      <c r="B468" s="328" t="s">
        <v>21</v>
      </c>
      <c r="C468" s="328"/>
      <c r="D468" s="141"/>
      <c r="E468" s="82" t="s">
        <v>22</v>
      </c>
      <c r="F468" s="82" t="s">
        <v>23</v>
      </c>
      <c r="G468" s="88" t="s">
        <v>24</v>
      </c>
      <c r="H468" s="89" t="s">
        <v>25</v>
      </c>
      <c r="I468" s="226" t="s">
        <v>26</v>
      </c>
    </row>
    <row r="469" spans="2:12" ht="20.399999999999999" x14ac:dyDescent="0.25">
      <c r="B469" s="156">
        <v>95749</v>
      </c>
      <c r="C469" s="151" t="s">
        <v>1</v>
      </c>
      <c r="D469" s="84" t="s">
        <v>173</v>
      </c>
      <c r="E469" s="75" t="s">
        <v>8</v>
      </c>
      <c r="F469" s="140">
        <f>1/6</f>
        <v>0.16666666666666666</v>
      </c>
      <c r="G469" s="77">
        <f>(2.5*4)+4.6</f>
        <v>14.6</v>
      </c>
      <c r="H469" s="139">
        <v>23.69</v>
      </c>
      <c r="I469" s="140">
        <f t="shared" ref="I469:I471" si="18">F469*G469*H469</f>
        <v>57.645666666666664</v>
      </c>
    </row>
    <row r="470" spans="2:12" x14ac:dyDescent="0.25">
      <c r="B470" s="156">
        <v>344</v>
      </c>
      <c r="C470" s="151" t="s">
        <v>1</v>
      </c>
      <c r="D470" s="84" t="s">
        <v>788</v>
      </c>
      <c r="E470" s="75" t="s">
        <v>82</v>
      </c>
      <c r="F470" s="140">
        <f t="shared" ref="F470:F474" si="19">1/6</f>
        <v>0.16666666666666666</v>
      </c>
      <c r="G470" s="77">
        <f>0.0166*G469</f>
        <v>0.24235999999999999</v>
      </c>
      <c r="H470" s="139">
        <v>26.29</v>
      </c>
      <c r="I470" s="140">
        <f t="shared" si="18"/>
        <v>1.0619407333333333</v>
      </c>
    </row>
    <row r="471" spans="2:12" ht="21" thickBot="1" x14ac:dyDescent="0.3">
      <c r="B471" s="154">
        <v>14053</v>
      </c>
      <c r="C471" s="151" t="s">
        <v>1</v>
      </c>
      <c r="D471" s="84" t="s">
        <v>789</v>
      </c>
      <c r="E471" s="75" t="s">
        <v>22</v>
      </c>
      <c r="F471" s="140">
        <f t="shared" si="19"/>
        <v>0.16666666666666666</v>
      </c>
      <c r="G471" s="77">
        <v>6</v>
      </c>
      <c r="H471" s="139">
        <v>9.9700000000000006</v>
      </c>
      <c r="I471" s="140">
        <f t="shared" si="18"/>
        <v>9.9700000000000006</v>
      </c>
    </row>
    <row r="472" spans="2:12" ht="14.4" thickBot="1" x14ac:dyDescent="0.3">
      <c r="B472" s="328" t="s">
        <v>28</v>
      </c>
      <c r="C472" s="328"/>
      <c r="D472" s="141"/>
      <c r="E472" s="82" t="s">
        <v>22</v>
      </c>
      <c r="F472" s="82" t="s">
        <v>23</v>
      </c>
      <c r="G472" s="88" t="s">
        <v>24</v>
      </c>
      <c r="H472" s="89" t="s">
        <v>25</v>
      </c>
      <c r="I472" s="226" t="s">
        <v>26</v>
      </c>
    </row>
    <row r="473" spans="2:12" x14ac:dyDescent="0.25">
      <c r="B473" s="156">
        <v>88264</v>
      </c>
      <c r="C473" s="151" t="s">
        <v>1</v>
      </c>
      <c r="D473" s="84" t="s">
        <v>3</v>
      </c>
      <c r="E473" s="75" t="s">
        <v>2</v>
      </c>
      <c r="F473" s="140">
        <f t="shared" si="19"/>
        <v>0.16666666666666666</v>
      </c>
      <c r="G473" s="77">
        <v>18</v>
      </c>
      <c r="H473" s="139">
        <v>19.53</v>
      </c>
      <c r="I473" s="140">
        <f t="shared" ref="I473:I474" si="20">F473*G473*H473</f>
        <v>58.59</v>
      </c>
    </row>
    <row r="474" spans="2:12" ht="14.4" thickBot="1" x14ac:dyDescent="0.3">
      <c r="B474" s="156">
        <v>88316</v>
      </c>
      <c r="C474" s="151" t="s">
        <v>1</v>
      </c>
      <c r="D474" s="84" t="s">
        <v>651</v>
      </c>
      <c r="E474" s="75" t="s">
        <v>2</v>
      </c>
      <c r="F474" s="140">
        <f t="shared" si="19"/>
        <v>0.16666666666666666</v>
      </c>
      <c r="G474" s="77">
        <v>18</v>
      </c>
      <c r="H474" s="139">
        <v>15.16</v>
      </c>
      <c r="I474" s="140">
        <f t="shared" si="20"/>
        <v>45.480000000000004</v>
      </c>
    </row>
    <row r="475" spans="2:12" ht="14.4" thickBot="1" x14ac:dyDescent="0.3">
      <c r="B475" s="328" t="s">
        <v>29</v>
      </c>
      <c r="C475" s="328"/>
      <c r="D475" s="328"/>
      <c r="E475" s="328"/>
      <c r="F475" s="328"/>
      <c r="G475" s="328"/>
      <c r="H475" s="328"/>
      <c r="I475" s="296">
        <f>SUM(I469:I474)</f>
        <v>172.74760739999999</v>
      </c>
    </row>
    <row r="476" spans="2:12" s="90" customFormat="1" ht="10.199999999999999" x14ac:dyDescent="0.25">
      <c r="B476" s="166"/>
      <c r="C476" s="223" t="s">
        <v>30</v>
      </c>
      <c r="D476" s="90" t="s">
        <v>787</v>
      </c>
      <c r="E476" s="75"/>
      <c r="F476" s="75"/>
      <c r="G476" s="85"/>
      <c r="H476" s="139"/>
      <c r="I476" s="293"/>
      <c r="L476" s="85"/>
    </row>
    <row r="477" spans="2:12" s="90" customFormat="1" ht="10.199999999999999" x14ac:dyDescent="0.25">
      <c r="B477" s="166"/>
      <c r="C477" s="223"/>
      <c r="E477" s="75"/>
      <c r="F477" s="75"/>
      <c r="G477" s="85"/>
      <c r="H477" s="139"/>
      <c r="I477" s="295"/>
      <c r="L477" s="85"/>
    </row>
    <row r="478" spans="2:12" s="90" customFormat="1" ht="10.8" thickBot="1" x14ac:dyDescent="0.3">
      <c r="B478" s="166"/>
      <c r="C478" s="223"/>
      <c r="E478" s="75"/>
      <c r="F478" s="75"/>
      <c r="G478" s="85"/>
      <c r="H478" s="139"/>
      <c r="I478" s="292"/>
      <c r="L478" s="85"/>
    </row>
    <row r="479" spans="2:12" ht="14.4" thickBot="1" x14ac:dyDescent="0.3">
      <c r="B479" s="330" t="s">
        <v>18</v>
      </c>
      <c r="C479" s="330"/>
      <c r="D479" s="331" t="s">
        <v>19</v>
      </c>
      <c r="E479" s="331"/>
      <c r="F479" s="331"/>
      <c r="G479" s="331"/>
      <c r="H479" s="331"/>
      <c r="I479" s="291" t="s">
        <v>20</v>
      </c>
    </row>
    <row r="480" spans="2:12" ht="14.4" thickBot="1" x14ac:dyDescent="0.3">
      <c r="B480" s="329" t="s">
        <v>236</v>
      </c>
      <c r="C480" s="329"/>
      <c r="D480" s="332" t="s">
        <v>791</v>
      </c>
      <c r="E480" s="332"/>
      <c r="F480" s="332"/>
      <c r="G480" s="332"/>
      <c r="H480" s="332"/>
      <c r="I480" s="80" t="s">
        <v>472</v>
      </c>
    </row>
    <row r="481" spans="2:12" ht="14.4" thickBot="1" x14ac:dyDescent="0.3">
      <c r="B481" s="328" t="s">
        <v>21</v>
      </c>
      <c r="C481" s="328"/>
      <c r="D481" s="141"/>
      <c r="E481" s="82" t="s">
        <v>22</v>
      </c>
      <c r="F481" s="82" t="s">
        <v>23</v>
      </c>
      <c r="G481" s="88" t="s">
        <v>24</v>
      </c>
      <c r="H481" s="89" t="s">
        <v>25</v>
      </c>
      <c r="I481" s="226" t="s">
        <v>26</v>
      </c>
    </row>
    <row r="482" spans="2:12" ht="14.4" thickBot="1" x14ac:dyDescent="0.3">
      <c r="B482" s="156"/>
      <c r="C482" s="151" t="s">
        <v>206</v>
      </c>
      <c r="D482" s="84" t="s">
        <v>793</v>
      </c>
      <c r="E482" s="75" t="s">
        <v>22</v>
      </c>
      <c r="F482" s="140">
        <v>1</v>
      </c>
      <c r="G482" s="77">
        <v>1</v>
      </c>
      <c r="H482" s="139">
        <v>222.71</v>
      </c>
      <c r="I482" s="140">
        <f t="shared" ref="I482" si="21">F482*G482*H482</f>
        <v>222.71</v>
      </c>
    </row>
    <row r="483" spans="2:12" ht="14.4" thickBot="1" x14ac:dyDescent="0.3">
      <c r="B483" s="328" t="s">
        <v>28</v>
      </c>
      <c r="C483" s="328"/>
      <c r="D483" s="141"/>
      <c r="E483" s="82" t="s">
        <v>22</v>
      </c>
      <c r="F483" s="82" t="s">
        <v>23</v>
      </c>
      <c r="G483" s="88" t="s">
        <v>24</v>
      </c>
      <c r="H483" s="89" t="s">
        <v>25</v>
      </c>
      <c r="I483" s="226" t="s">
        <v>26</v>
      </c>
    </row>
    <row r="484" spans="2:12" x14ac:dyDescent="0.25">
      <c r="B484" s="156">
        <v>88264</v>
      </c>
      <c r="C484" s="151" t="s">
        <v>1</v>
      </c>
      <c r="D484" s="84" t="s">
        <v>3</v>
      </c>
      <c r="E484" s="75" t="s">
        <v>2</v>
      </c>
      <c r="F484" s="140">
        <v>1</v>
      </c>
      <c r="G484" s="77">
        <v>0.34599999999999997</v>
      </c>
      <c r="H484" s="139">
        <v>19.53</v>
      </c>
      <c r="I484" s="140">
        <f t="shared" ref="I484:I485" si="22">F484*G484*H484</f>
        <v>6.7573799999999995</v>
      </c>
    </row>
    <row r="485" spans="2:12" ht="14.4" thickBot="1" x14ac:dyDescent="0.3">
      <c r="B485" s="154">
        <v>88247</v>
      </c>
      <c r="C485" s="151" t="s">
        <v>1</v>
      </c>
      <c r="D485" s="84" t="s">
        <v>719</v>
      </c>
      <c r="E485" s="75" t="s">
        <v>2</v>
      </c>
      <c r="F485" s="140">
        <v>1</v>
      </c>
      <c r="G485" s="77">
        <v>0.34599999999999997</v>
      </c>
      <c r="H485" s="87">
        <v>15.19</v>
      </c>
      <c r="I485" s="140">
        <f t="shared" si="22"/>
        <v>5.2557399999999994</v>
      </c>
    </row>
    <row r="486" spans="2:12" ht="14.4" thickBot="1" x14ac:dyDescent="0.3">
      <c r="B486" s="328" t="s">
        <v>29</v>
      </c>
      <c r="C486" s="328"/>
      <c r="D486" s="328"/>
      <c r="E486" s="328"/>
      <c r="F486" s="328"/>
      <c r="G486" s="328"/>
      <c r="H486" s="328"/>
      <c r="I486" s="296">
        <f>SUM(I482:I485)</f>
        <v>234.72312000000002</v>
      </c>
    </row>
    <row r="487" spans="2:12" s="90" customFormat="1" ht="10.199999999999999" x14ac:dyDescent="0.25">
      <c r="B487" s="166"/>
      <c r="C487" s="223" t="s">
        <v>30</v>
      </c>
      <c r="D487" s="90" t="s">
        <v>792</v>
      </c>
      <c r="E487" s="75"/>
      <c r="F487" s="75"/>
      <c r="G487" s="85"/>
      <c r="H487" s="139"/>
      <c r="I487" s="293"/>
      <c r="L487" s="85"/>
    </row>
    <row r="488" spans="2:12" s="90" customFormat="1" ht="10.199999999999999" x14ac:dyDescent="0.25">
      <c r="B488" s="166"/>
      <c r="C488" s="223"/>
      <c r="E488" s="75"/>
      <c r="F488" s="75"/>
      <c r="G488" s="85"/>
      <c r="H488" s="139"/>
      <c r="I488" s="295"/>
      <c r="L488" s="85"/>
    </row>
    <row r="489" spans="2:12" s="90" customFormat="1" ht="10.8" thickBot="1" x14ac:dyDescent="0.3">
      <c r="B489" s="166"/>
      <c r="C489" s="223"/>
      <c r="E489" s="75"/>
      <c r="F489" s="75"/>
      <c r="G489" s="85"/>
      <c r="H489" s="139"/>
      <c r="I489" s="292"/>
      <c r="L489" s="85"/>
    </row>
    <row r="490" spans="2:12" ht="14.4" thickBot="1" x14ac:dyDescent="0.3">
      <c r="B490" s="330" t="s">
        <v>18</v>
      </c>
      <c r="C490" s="330"/>
      <c r="D490" s="331" t="s">
        <v>19</v>
      </c>
      <c r="E490" s="331"/>
      <c r="F490" s="331"/>
      <c r="G490" s="331"/>
      <c r="H490" s="331"/>
      <c r="I490" s="291" t="s">
        <v>20</v>
      </c>
    </row>
    <row r="491" spans="2:12" ht="14.4" thickBot="1" x14ac:dyDescent="0.3">
      <c r="B491" s="329" t="s">
        <v>241</v>
      </c>
      <c r="C491" s="329"/>
      <c r="D491" s="332" t="s">
        <v>798</v>
      </c>
      <c r="E491" s="332"/>
      <c r="F491" s="332"/>
      <c r="G491" s="332"/>
      <c r="H491" s="332"/>
      <c r="I491" s="80" t="s">
        <v>8</v>
      </c>
    </row>
    <row r="492" spans="2:12" ht="14.4" thickBot="1" x14ac:dyDescent="0.3">
      <c r="B492" s="328" t="s">
        <v>21</v>
      </c>
      <c r="C492" s="328"/>
      <c r="D492" s="141"/>
      <c r="E492" s="82" t="s">
        <v>22</v>
      </c>
      <c r="F492" s="82" t="s">
        <v>23</v>
      </c>
      <c r="G492" s="88" t="s">
        <v>24</v>
      </c>
      <c r="H492" s="89" t="s">
        <v>25</v>
      </c>
      <c r="I492" s="226" t="s">
        <v>26</v>
      </c>
    </row>
    <row r="493" spans="2:12" x14ac:dyDescent="0.25">
      <c r="B493" s="156">
        <v>39599</v>
      </c>
      <c r="C493" s="151" t="s">
        <v>1</v>
      </c>
      <c r="D493" s="84" t="s">
        <v>959</v>
      </c>
      <c r="E493" s="75" t="s">
        <v>8</v>
      </c>
      <c r="F493" s="140">
        <v>1</v>
      </c>
      <c r="G493" s="77">
        <v>1.05</v>
      </c>
      <c r="H493" s="139">
        <v>2.5299999999999998</v>
      </c>
      <c r="I493" s="140">
        <f t="shared" ref="I493:I494" si="23">F493*G493*H493</f>
        <v>2.6564999999999999</v>
      </c>
    </row>
    <row r="494" spans="2:12" ht="14.4" thickBot="1" x14ac:dyDescent="0.3">
      <c r="B494" s="156">
        <v>43130</v>
      </c>
      <c r="C494" s="151" t="s">
        <v>1</v>
      </c>
      <c r="D494" s="84" t="s">
        <v>800</v>
      </c>
      <c r="E494" s="75" t="s">
        <v>82</v>
      </c>
      <c r="F494" s="140">
        <v>1</v>
      </c>
      <c r="G494" s="77">
        <v>0.1</v>
      </c>
      <c r="H494" s="139">
        <v>20</v>
      </c>
      <c r="I494" s="140">
        <f t="shared" si="23"/>
        <v>2</v>
      </c>
    </row>
    <row r="495" spans="2:12" ht="14.4" thickBot="1" x14ac:dyDescent="0.3">
      <c r="B495" s="328" t="s">
        <v>28</v>
      </c>
      <c r="C495" s="328"/>
      <c r="D495" s="141"/>
      <c r="E495" s="82" t="s">
        <v>22</v>
      </c>
      <c r="F495" s="82" t="s">
        <v>23</v>
      </c>
      <c r="G495" s="88" t="s">
        <v>24</v>
      </c>
      <c r="H495" s="89" t="s">
        <v>25</v>
      </c>
      <c r="I495" s="226" t="s">
        <v>26</v>
      </c>
    </row>
    <row r="496" spans="2:12" x14ac:dyDescent="0.25">
      <c r="B496" s="156">
        <v>88264</v>
      </c>
      <c r="C496" s="151" t="s">
        <v>1</v>
      </c>
      <c r="D496" s="84" t="s">
        <v>3</v>
      </c>
      <c r="E496" s="75" t="s">
        <v>2</v>
      </c>
      <c r="F496" s="140">
        <v>1</v>
      </c>
      <c r="G496" s="77">
        <v>0.14000000000000001</v>
      </c>
      <c r="H496" s="139">
        <v>19.53</v>
      </c>
      <c r="I496" s="140">
        <f t="shared" ref="I496:I497" si="24">F496*G496*H496</f>
        <v>2.7342000000000004</v>
      </c>
    </row>
    <row r="497" spans="2:12" ht="14.4" thickBot="1" x14ac:dyDescent="0.3">
      <c r="B497" s="156">
        <v>88316</v>
      </c>
      <c r="C497" s="151" t="s">
        <v>1</v>
      </c>
      <c r="D497" s="84" t="s">
        <v>651</v>
      </c>
      <c r="E497" s="75" t="s">
        <v>2</v>
      </c>
      <c r="F497" s="140">
        <v>1</v>
      </c>
      <c r="G497" s="77">
        <v>0.14000000000000001</v>
      </c>
      <c r="H497" s="139">
        <v>15.16</v>
      </c>
      <c r="I497" s="140">
        <f t="shared" si="24"/>
        <v>2.1224000000000003</v>
      </c>
    </row>
    <row r="498" spans="2:12" ht="14.4" thickBot="1" x14ac:dyDescent="0.3">
      <c r="B498" s="328" t="s">
        <v>29</v>
      </c>
      <c r="C498" s="328"/>
      <c r="D498" s="328"/>
      <c r="E498" s="328"/>
      <c r="F498" s="328"/>
      <c r="G498" s="328"/>
      <c r="H498" s="328"/>
      <c r="I498" s="296">
        <f>SUM(I493:I497)</f>
        <v>9.5130999999999997</v>
      </c>
    </row>
    <row r="499" spans="2:12" s="90" customFormat="1" ht="10.199999999999999" x14ac:dyDescent="0.25">
      <c r="B499" s="166"/>
      <c r="C499" s="223" t="s">
        <v>30</v>
      </c>
      <c r="D499" s="90" t="s">
        <v>799</v>
      </c>
      <c r="E499" s="75"/>
      <c r="F499" s="75"/>
      <c r="G499" s="85"/>
      <c r="H499" s="139"/>
      <c r="I499" s="293"/>
      <c r="L499" s="85"/>
    </row>
    <row r="500" spans="2:12" s="90" customFormat="1" ht="10.199999999999999" x14ac:dyDescent="0.25">
      <c r="B500" s="166"/>
      <c r="C500" s="223"/>
      <c r="E500" s="75"/>
      <c r="F500" s="75"/>
      <c r="G500" s="85"/>
      <c r="H500" s="139"/>
      <c r="I500" s="295"/>
      <c r="L500" s="85"/>
    </row>
    <row r="501" spans="2:12" s="90" customFormat="1" ht="10.8" thickBot="1" x14ac:dyDescent="0.3">
      <c r="B501" s="166"/>
      <c r="C501" s="223"/>
      <c r="E501" s="75"/>
      <c r="F501" s="75"/>
      <c r="G501" s="85"/>
      <c r="H501" s="139"/>
      <c r="I501" s="292"/>
      <c r="L501" s="85"/>
    </row>
    <row r="502" spans="2:12" ht="14.4" thickBot="1" x14ac:dyDescent="0.3">
      <c r="B502" s="330" t="s">
        <v>18</v>
      </c>
      <c r="C502" s="330"/>
      <c r="D502" s="331" t="s">
        <v>19</v>
      </c>
      <c r="E502" s="331"/>
      <c r="F502" s="331"/>
      <c r="G502" s="331"/>
      <c r="H502" s="331"/>
      <c r="I502" s="291" t="s">
        <v>20</v>
      </c>
    </row>
    <row r="503" spans="2:12" ht="14.4" thickBot="1" x14ac:dyDescent="0.3">
      <c r="B503" s="329" t="s">
        <v>246</v>
      </c>
      <c r="C503" s="329"/>
      <c r="D503" s="332" t="s">
        <v>807</v>
      </c>
      <c r="E503" s="332"/>
      <c r="F503" s="332"/>
      <c r="G503" s="332"/>
      <c r="H503" s="332"/>
      <c r="I503" s="80" t="s">
        <v>8</v>
      </c>
    </row>
    <row r="504" spans="2:12" ht="14.4" thickBot="1" x14ac:dyDescent="0.3">
      <c r="B504" s="328" t="s">
        <v>21</v>
      </c>
      <c r="C504" s="328"/>
      <c r="D504" s="141"/>
      <c r="E504" s="82" t="s">
        <v>22</v>
      </c>
      <c r="F504" s="82" t="s">
        <v>23</v>
      </c>
      <c r="G504" s="88" t="s">
        <v>24</v>
      </c>
      <c r="H504" s="89" t="s">
        <v>25</v>
      </c>
      <c r="I504" s="226" t="s">
        <v>26</v>
      </c>
    </row>
    <row r="505" spans="2:12" ht="14.4" thickBot="1" x14ac:dyDescent="0.3">
      <c r="B505" s="156"/>
      <c r="C505" s="151" t="s">
        <v>206</v>
      </c>
      <c r="D505" s="84" t="s">
        <v>806</v>
      </c>
      <c r="E505" s="75" t="s">
        <v>8</v>
      </c>
      <c r="F505" s="140">
        <v>1</v>
      </c>
      <c r="G505" s="77">
        <v>1.02</v>
      </c>
      <c r="H505" s="139">
        <v>2.2799999999999998</v>
      </c>
      <c r="I505" s="140">
        <f t="shared" ref="I505:I508" si="25">F505*G505*H505</f>
        <v>2.3255999999999997</v>
      </c>
    </row>
    <row r="506" spans="2:12" ht="14.4" thickBot="1" x14ac:dyDescent="0.3">
      <c r="B506" s="328" t="s">
        <v>28</v>
      </c>
      <c r="C506" s="328"/>
      <c r="D506" s="141"/>
      <c r="E506" s="82" t="s">
        <v>22</v>
      </c>
      <c r="F506" s="82" t="s">
        <v>23</v>
      </c>
      <c r="G506" s="88" t="s">
        <v>24</v>
      </c>
      <c r="H506" s="89" t="s">
        <v>25</v>
      </c>
      <c r="I506" s="226" t="s">
        <v>26</v>
      </c>
    </row>
    <row r="507" spans="2:12" x14ac:dyDescent="0.25">
      <c r="B507" s="156">
        <v>88264</v>
      </c>
      <c r="C507" s="151" t="s">
        <v>1</v>
      </c>
      <c r="D507" s="84" t="s">
        <v>3</v>
      </c>
      <c r="E507" s="75" t="s">
        <v>2</v>
      </c>
      <c r="F507" s="140">
        <v>1</v>
      </c>
      <c r="G507" s="77">
        <v>0.08</v>
      </c>
      <c r="H507" s="139">
        <v>19.53</v>
      </c>
      <c r="I507" s="140">
        <f t="shared" si="25"/>
        <v>1.5624000000000002</v>
      </c>
    </row>
    <row r="508" spans="2:12" ht="14.4" thickBot="1" x14ac:dyDescent="0.3">
      <c r="B508" s="154">
        <v>88247</v>
      </c>
      <c r="C508" s="151" t="s">
        <v>1</v>
      </c>
      <c r="D508" s="84" t="s">
        <v>719</v>
      </c>
      <c r="E508" s="75" t="s">
        <v>2</v>
      </c>
      <c r="F508" s="140">
        <v>1</v>
      </c>
      <c r="G508" s="77">
        <v>0.08</v>
      </c>
      <c r="H508" s="87">
        <v>15.19</v>
      </c>
      <c r="I508" s="140">
        <f t="shared" si="25"/>
        <v>1.2152000000000001</v>
      </c>
    </row>
    <row r="509" spans="2:12" ht="14.4" thickBot="1" x14ac:dyDescent="0.3">
      <c r="B509" s="328" t="s">
        <v>29</v>
      </c>
      <c r="C509" s="328"/>
      <c r="D509" s="328"/>
      <c r="E509" s="328"/>
      <c r="F509" s="328"/>
      <c r="G509" s="328"/>
      <c r="H509" s="328"/>
      <c r="I509" s="296">
        <f>SUM(I505:I508)</f>
        <v>5.1032000000000002</v>
      </c>
    </row>
    <row r="510" spans="2:12" s="90" customFormat="1" ht="10.199999999999999" x14ac:dyDescent="0.25">
      <c r="B510" s="166"/>
      <c r="C510" s="223" t="s">
        <v>30</v>
      </c>
      <c r="D510" s="90" t="s">
        <v>805</v>
      </c>
      <c r="E510" s="75"/>
      <c r="F510" s="75"/>
      <c r="G510" s="85"/>
      <c r="H510" s="139"/>
      <c r="I510" s="293"/>
      <c r="L510" s="85"/>
    </row>
    <row r="511" spans="2:12" s="90" customFormat="1" ht="10.199999999999999" x14ac:dyDescent="0.25">
      <c r="B511" s="166"/>
      <c r="C511" s="223"/>
      <c r="E511" s="75"/>
      <c r="F511" s="75"/>
      <c r="G511" s="85"/>
      <c r="H511" s="139"/>
      <c r="I511" s="295"/>
      <c r="L511" s="85"/>
    </row>
    <row r="512" spans="2:12" s="90" customFormat="1" ht="10.8" thickBot="1" x14ac:dyDescent="0.3">
      <c r="B512" s="166"/>
      <c r="C512" s="223"/>
      <c r="E512" s="75"/>
      <c r="F512" s="75"/>
      <c r="G512" s="85"/>
      <c r="H512" s="139"/>
      <c r="I512" s="292"/>
      <c r="L512" s="85"/>
    </row>
    <row r="513" spans="2:12" ht="14.4" thickBot="1" x14ac:dyDescent="0.3">
      <c r="B513" s="330" t="s">
        <v>18</v>
      </c>
      <c r="C513" s="330"/>
      <c r="D513" s="331" t="s">
        <v>19</v>
      </c>
      <c r="E513" s="331"/>
      <c r="F513" s="331"/>
      <c r="G513" s="331"/>
      <c r="H513" s="331"/>
      <c r="I513" s="291" t="s">
        <v>20</v>
      </c>
    </row>
    <row r="514" spans="2:12" ht="14.4" thickBot="1" x14ac:dyDescent="0.3">
      <c r="B514" s="329" t="s">
        <v>258</v>
      </c>
      <c r="C514" s="329"/>
      <c r="D514" s="332" t="s">
        <v>813</v>
      </c>
      <c r="E514" s="332"/>
      <c r="F514" s="332"/>
      <c r="G514" s="332"/>
      <c r="H514" s="332"/>
      <c r="I514" s="80" t="s">
        <v>8</v>
      </c>
    </row>
    <row r="515" spans="2:12" ht="14.4" thickBot="1" x14ac:dyDescent="0.3">
      <c r="B515" s="328" t="s">
        <v>21</v>
      </c>
      <c r="C515" s="328"/>
      <c r="D515" s="141"/>
      <c r="E515" s="82" t="s">
        <v>22</v>
      </c>
      <c r="F515" s="82" t="s">
        <v>23</v>
      </c>
      <c r="G515" s="88" t="s">
        <v>24</v>
      </c>
      <c r="H515" s="89" t="s">
        <v>25</v>
      </c>
      <c r="I515" s="226" t="s">
        <v>26</v>
      </c>
    </row>
    <row r="516" spans="2:12" ht="14.4" thickBot="1" x14ac:dyDescent="0.3">
      <c r="B516" s="156"/>
      <c r="C516" s="151" t="s">
        <v>206</v>
      </c>
      <c r="D516" s="84" t="s">
        <v>814</v>
      </c>
      <c r="E516" s="75" t="s">
        <v>8</v>
      </c>
      <c r="F516" s="140">
        <v>1</v>
      </c>
      <c r="G516" s="77">
        <v>1</v>
      </c>
      <c r="H516" s="139">
        <v>16.88</v>
      </c>
      <c r="I516" s="140">
        <f t="shared" ref="I516" si="26">F516*G516*H516</f>
        <v>16.88</v>
      </c>
    </row>
    <row r="517" spans="2:12" ht="14.4" thickBot="1" x14ac:dyDescent="0.3">
      <c r="B517" s="328" t="s">
        <v>28</v>
      </c>
      <c r="C517" s="328"/>
      <c r="D517" s="141"/>
      <c r="E517" s="82" t="s">
        <v>22</v>
      </c>
      <c r="F517" s="82" t="s">
        <v>23</v>
      </c>
      <c r="G517" s="88" t="s">
        <v>24</v>
      </c>
      <c r="H517" s="89" t="s">
        <v>25</v>
      </c>
      <c r="I517" s="226" t="s">
        <v>26</v>
      </c>
    </row>
    <row r="518" spans="2:12" x14ac:dyDescent="0.25">
      <c r="B518" s="156">
        <v>88264</v>
      </c>
      <c r="C518" s="151" t="s">
        <v>1</v>
      </c>
      <c r="D518" s="84" t="s">
        <v>3</v>
      </c>
      <c r="E518" s="75" t="s">
        <v>2</v>
      </c>
      <c r="F518" s="140">
        <v>1</v>
      </c>
      <c r="G518" s="77">
        <v>0.6</v>
      </c>
      <c r="H518" s="139">
        <v>19.53</v>
      </c>
      <c r="I518" s="140">
        <f t="shared" ref="I518:I519" si="27">F518*G518*H518</f>
        <v>11.718</v>
      </c>
    </row>
    <row r="519" spans="2:12" ht="14.4" thickBot="1" x14ac:dyDescent="0.3">
      <c r="B519" s="156">
        <v>88316</v>
      </c>
      <c r="C519" s="151" t="s">
        <v>1</v>
      </c>
      <c r="D519" s="84" t="s">
        <v>651</v>
      </c>
      <c r="E519" s="75" t="s">
        <v>2</v>
      </c>
      <c r="F519" s="140">
        <v>1</v>
      </c>
      <c r="G519" s="77">
        <v>0.6</v>
      </c>
      <c r="H519" s="139">
        <v>15.16</v>
      </c>
      <c r="I519" s="140">
        <f t="shared" si="27"/>
        <v>9.0960000000000001</v>
      </c>
    </row>
    <row r="520" spans="2:12" ht="14.4" thickBot="1" x14ac:dyDescent="0.3">
      <c r="B520" s="328" t="s">
        <v>29</v>
      </c>
      <c r="C520" s="328"/>
      <c r="D520" s="328"/>
      <c r="E520" s="328"/>
      <c r="F520" s="328"/>
      <c r="G520" s="328"/>
      <c r="H520" s="328"/>
      <c r="I520" s="296">
        <f>SUM(I516:I519)</f>
        <v>37.694000000000003</v>
      </c>
    </row>
    <row r="521" spans="2:12" s="90" customFormat="1" ht="10.199999999999999" x14ac:dyDescent="0.25">
      <c r="B521" s="166"/>
      <c r="C521" s="223" t="s">
        <v>30</v>
      </c>
      <c r="D521" s="90" t="s">
        <v>815</v>
      </c>
      <c r="E521" s="75"/>
      <c r="F521" s="75"/>
      <c r="G521" s="85"/>
      <c r="H521" s="139"/>
      <c r="I521" s="293"/>
      <c r="L521" s="85"/>
    </row>
    <row r="522" spans="2:12" s="90" customFormat="1" ht="10.199999999999999" x14ac:dyDescent="0.25">
      <c r="B522" s="166"/>
      <c r="C522" s="223"/>
      <c r="E522" s="75"/>
      <c r="F522" s="75"/>
      <c r="G522" s="85"/>
      <c r="H522" s="139"/>
      <c r="I522" s="295"/>
      <c r="L522" s="85"/>
    </row>
    <row r="523" spans="2:12" s="90" customFormat="1" ht="10.8" thickBot="1" x14ac:dyDescent="0.3">
      <c r="B523" s="166"/>
      <c r="C523" s="223"/>
      <c r="E523" s="75"/>
      <c r="F523" s="75"/>
      <c r="G523" s="85"/>
      <c r="H523" s="139"/>
      <c r="I523" s="292"/>
      <c r="L523" s="85"/>
    </row>
    <row r="524" spans="2:12" ht="14.4" thickBot="1" x14ac:dyDescent="0.3">
      <c r="B524" s="330" t="s">
        <v>18</v>
      </c>
      <c r="C524" s="330"/>
      <c r="D524" s="331" t="s">
        <v>19</v>
      </c>
      <c r="E524" s="331"/>
      <c r="F524" s="331"/>
      <c r="G524" s="331"/>
      <c r="H524" s="331"/>
      <c r="I524" s="291" t="s">
        <v>20</v>
      </c>
    </row>
    <row r="525" spans="2:12" ht="14.4" thickBot="1" x14ac:dyDescent="0.3">
      <c r="B525" s="329" t="s">
        <v>263</v>
      </c>
      <c r="C525" s="329"/>
      <c r="D525" s="332" t="s">
        <v>686</v>
      </c>
      <c r="E525" s="332"/>
      <c r="F525" s="332"/>
      <c r="G525" s="332"/>
      <c r="H525" s="332"/>
      <c r="I525" s="80" t="s">
        <v>472</v>
      </c>
    </row>
    <row r="526" spans="2:12" ht="14.4" thickBot="1" x14ac:dyDescent="0.3">
      <c r="B526" s="328" t="s">
        <v>21</v>
      </c>
      <c r="C526" s="328"/>
      <c r="D526" s="141"/>
      <c r="E526" s="82" t="s">
        <v>22</v>
      </c>
      <c r="F526" s="82" t="s">
        <v>23</v>
      </c>
      <c r="G526" s="88" t="s">
        <v>24</v>
      </c>
      <c r="H526" s="89" t="s">
        <v>25</v>
      </c>
      <c r="I526" s="226" t="s">
        <v>26</v>
      </c>
    </row>
    <row r="527" spans="2:12" x14ac:dyDescent="0.25">
      <c r="B527" s="166"/>
      <c r="C527" s="151" t="s">
        <v>206</v>
      </c>
      <c r="D527" s="2" t="s">
        <v>225</v>
      </c>
      <c r="E527" s="75" t="s">
        <v>22</v>
      </c>
      <c r="F527" s="140">
        <v>1</v>
      </c>
      <c r="G527" s="77">
        <v>1</v>
      </c>
      <c r="H527" s="139">
        <v>184.15</v>
      </c>
      <c r="I527" s="140">
        <f>F527*G527*H527</f>
        <v>184.15</v>
      </c>
      <c r="J527" s="104"/>
    </row>
    <row r="528" spans="2:12" ht="14.4" thickBot="1" x14ac:dyDescent="0.3">
      <c r="B528" s="166"/>
      <c r="C528" s="151" t="s">
        <v>206</v>
      </c>
      <c r="D528" s="2" t="s">
        <v>227</v>
      </c>
      <c r="E528" s="75" t="s">
        <v>22</v>
      </c>
      <c r="F528" s="140">
        <v>1</v>
      </c>
      <c r="G528" s="77">
        <v>1</v>
      </c>
      <c r="H528" s="139">
        <v>32.93</v>
      </c>
      <c r="I528" s="140">
        <f>F528*G528*H528</f>
        <v>32.93</v>
      </c>
      <c r="J528" s="104"/>
    </row>
    <row r="529" spans="2:12" ht="14.4" thickBot="1" x14ac:dyDescent="0.3">
      <c r="B529" s="328" t="s">
        <v>28</v>
      </c>
      <c r="C529" s="328"/>
      <c r="D529" s="141"/>
      <c r="E529" s="82" t="s">
        <v>22</v>
      </c>
      <c r="F529" s="82" t="s">
        <v>23</v>
      </c>
      <c r="G529" s="88" t="s">
        <v>24</v>
      </c>
      <c r="H529" s="89" t="s">
        <v>25</v>
      </c>
      <c r="I529" s="226" t="s">
        <v>26</v>
      </c>
    </row>
    <row r="530" spans="2:12" x14ac:dyDescent="0.25">
      <c r="B530" s="156">
        <v>88247</v>
      </c>
      <c r="C530" s="151" t="s">
        <v>1</v>
      </c>
      <c r="D530" s="84" t="s">
        <v>95</v>
      </c>
      <c r="E530" s="75" t="s">
        <v>2</v>
      </c>
      <c r="F530" s="140">
        <v>1</v>
      </c>
      <c r="G530" s="77">
        <v>1.5</v>
      </c>
      <c r="H530" s="139">
        <v>15.19</v>
      </c>
      <c r="I530" s="140">
        <f>F530*G530*H530</f>
        <v>22.785</v>
      </c>
    </row>
    <row r="531" spans="2:12" ht="14.4" thickBot="1" x14ac:dyDescent="0.3">
      <c r="B531" s="156">
        <v>88264</v>
      </c>
      <c r="C531" s="151" t="s">
        <v>1</v>
      </c>
      <c r="D531" s="84" t="s">
        <v>3</v>
      </c>
      <c r="E531" s="75" t="s">
        <v>2</v>
      </c>
      <c r="F531" s="140">
        <v>1</v>
      </c>
      <c r="G531" s="77">
        <v>1.5</v>
      </c>
      <c r="H531" s="139">
        <v>19.53</v>
      </c>
      <c r="I531" s="140">
        <f>F531*G531*H531</f>
        <v>29.295000000000002</v>
      </c>
    </row>
    <row r="532" spans="2:12" ht="14.4" thickBot="1" x14ac:dyDescent="0.3">
      <c r="B532" s="328" t="s">
        <v>29</v>
      </c>
      <c r="C532" s="328"/>
      <c r="D532" s="328"/>
      <c r="E532" s="328"/>
      <c r="F532" s="328"/>
      <c r="G532" s="328"/>
      <c r="H532" s="328"/>
      <c r="I532" s="296">
        <f>SUM(I527:I531)</f>
        <v>269.16000000000003</v>
      </c>
    </row>
    <row r="533" spans="2:12" s="90" customFormat="1" ht="10.199999999999999" x14ac:dyDescent="0.25">
      <c r="B533" s="166"/>
      <c r="C533" s="223" t="s">
        <v>30</v>
      </c>
      <c r="D533" s="90" t="s">
        <v>226</v>
      </c>
      <c r="E533" s="75"/>
      <c r="F533" s="75"/>
      <c r="G533" s="85"/>
      <c r="H533" s="139"/>
      <c r="I533" s="293"/>
      <c r="L533" s="85"/>
    </row>
    <row r="534" spans="2:12" s="90" customFormat="1" ht="10.199999999999999" x14ac:dyDescent="0.25">
      <c r="B534" s="166"/>
      <c r="C534" s="223"/>
      <c r="E534" s="75"/>
      <c r="F534" s="75"/>
      <c r="G534" s="85"/>
      <c r="H534" s="139"/>
      <c r="I534" s="295"/>
      <c r="L534" s="85"/>
    </row>
    <row r="535" spans="2:12" s="90" customFormat="1" ht="10.8" thickBot="1" x14ac:dyDescent="0.3">
      <c r="B535" s="166"/>
      <c r="C535" s="223"/>
      <c r="E535" s="75"/>
      <c r="F535" s="75"/>
      <c r="G535" s="85"/>
      <c r="H535" s="139"/>
      <c r="I535" s="292"/>
      <c r="L535" s="85"/>
    </row>
    <row r="536" spans="2:12" ht="14.4" thickBot="1" x14ac:dyDescent="0.3">
      <c r="B536" s="330" t="s">
        <v>18</v>
      </c>
      <c r="C536" s="330"/>
      <c r="D536" s="331" t="s">
        <v>19</v>
      </c>
      <c r="E536" s="331"/>
      <c r="F536" s="331"/>
      <c r="G536" s="331"/>
      <c r="H536" s="331"/>
      <c r="I536" s="291" t="s">
        <v>20</v>
      </c>
    </row>
    <row r="537" spans="2:12" ht="14.4" thickBot="1" x14ac:dyDescent="0.3">
      <c r="B537" s="329" t="s">
        <v>268</v>
      </c>
      <c r="C537" s="329"/>
      <c r="D537" s="332" t="s">
        <v>229</v>
      </c>
      <c r="E537" s="332"/>
      <c r="F537" s="332"/>
      <c r="G537" s="332"/>
      <c r="H537" s="332"/>
      <c r="I537" s="80" t="s">
        <v>472</v>
      </c>
    </row>
    <row r="538" spans="2:12" ht="14.4" thickBot="1" x14ac:dyDescent="0.3">
      <c r="B538" s="328" t="s">
        <v>21</v>
      </c>
      <c r="C538" s="328"/>
      <c r="D538" s="141"/>
      <c r="E538" s="82" t="s">
        <v>22</v>
      </c>
      <c r="F538" s="82" t="s">
        <v>23</v>
      </c>
      <c r="G538" s="88" t="s">
        <v>24</v>
      </c>
      <c r="H538" s="89" t="s">
        <v>25</v>
      </c>
      <c r="I538" s="226" t="s">
        <v>26</v>
      </c>
    </row>
    <row r="539" spans="2:12" x14ac:dyDescent="0.25">
      <c r="B539" s="166"/>
      <c r="C539" s="151" t="s">
        <v>206</v>
      </c>
      <c r="D539" s="2" t="s">
        <v>230</v>
      </c>
      <c r="E539" s="75" t="s">
        <v>22</v>
      </c>
      <c r="F539" s="140">
        <v>1</v>
      </c>
      <c r="G539" s="77">
        <v>1</v>
      </c>
      <c r="H539" s="139">
        <v>139.94</v>
      </c>
      <c r="I539" s="140">
        <f>F539*G539*H539</f>
        <v>139.94</v>
      </c>
      <c r="J539" s="104"/>
      <c r="K539" s="91"/>
    </row>
    <row r="540" spans="2:12" ht="14.4" thickBot="1" x14ac:dyDescent="0.3">
      <c r="B540" s="166"/>
      <c r="C540" s="151" t="s">
        <v>206</v>
      </c>
      <c r="D540" s="2" t="s">
        <v>227</v>
      </c>
      <c r="E540" s="75" t="s">
        <v>22</v>
      </c>
      <c r="F540" s="140">
        <v>1</v>
      </c>
      <c r="G540" s="77">
        <v>1</v>
      </c>
      <c r="H540" s="139">
        <v>32.93</v>
      </c>
      <c r="I540" s="140">
        <f>F540*G540*H540</f>
        <v>32.93</v>
      </c>
      <c r="J540" s="104"/>
    </row>
    <row r="541" spans="2:12" ht="14.4" thickBot="1" x14ac:dyDescent="0.3">
      <c r="B541" s="328" t="s">
        <v>28</v>
      </c>
      <c r="C541" s="328"/>
      <c r="D541" s="141"/>
      <c r="E541" s="82" t="s">
        <v>22</v>
      </c>
      <c r="F541" s="82" t="s">
        <v>23</v>
      </c>
      <c r="G541" s="88" t="s">
        <v>24</v>
      </c>
      <c r="H541" s="89" t="s">
        <v>25</v>
      </c>
      <c r="I541" s="226" t="s">
        <v>26</v>
      </c>
    </row>
    <row r="542" spans="2:12" x14ac:dyDescent="0.25">
      <c r="B542" s="156">
        <v>88247</v>
      </c>
      <c r="C542" s="151" t="s">
        <v>1</v>
      </c>
      <c r="D542" s="84" t="s">
        <v>95</v>
      </c>
      <c r="E542" s="75" t="s">
        <v>2</v>
      </c>
      <c r="F542" s="140">
        <v>1</v>
      </c>
      <c r="G542" s="77">
        <v>1.5</v>
      </c>
      <c r="H542" s="139">
        <v>15.19</v>
      </c>
      <c r="I542" s="140">
        <f>F542*G542*H542</f>
        <v>22.785</v>
      </c>
    </row>
    <row r="543" spans="2:12" ht="14.4" thickBot="1" x14ac:dyDescent="0.3">
      <c r="B543" s="156">
        <v>88264</v>
      </c>
      <c r="C543" s="151" t="s">
        <v>1</v>
      </c>
      <c r="D543" s="84" t="s">
        <v>3</v>
      </c>
      <c r="E543" s="75" t="s">
        <v>2</v>
      </c>
      <c r="F543" s="140">
        <v>1</v>
      </c>
      <c r="G543" s="77">
        <v>1.5</v>
      </c>
      <c r="H543" s="139">
        <v>19.53</v>
      </c>
      <c r="I543" s="140">
        <f>F543*G543*H543</f>
        <v>29.295000000000002</v>
      </c>
    </row>
    <row r="544" spans="2:12" ht="14.4" thickBot="1" x14ac:dyDescent="0.3">
      <c r="B544" s="328" t="s">
        <v>29</v>
      </c>
      <c r="C544" s="328"/>
      <c r="D544" s="328"/>
      <c r="E544" s="328"/>
      <c r="F544" s="328"/>
      <c r="G544" s="328"/>
      <c r="H544" s="328"/>
      <c r="I544" s="296">
        <f>SUM(I539:I543)</f>
        <v>224.95</v>
      </c>
    </row>
    <row r="545" spans="2:12" s="90" customFormat="1" ht="10.199999999999999" x14ac:dyDescent="0.25">
      <c r="B545" s="166"/>
      <c r="C545" s="223" t="s">
        <v>30</v>
      </c>
      <c r="D545" s="90" t="s">
        <v>226</v>
      </c>
      <c r="E545" s="75"/>
      <c r="F545" s="75"/>
      <c r="G545" s="85"/>
      <c r="H545" s="139"/>
      <c r="I545" s="293"/>
      <c r="L545" s="85"/>
    </row>
    <row r="546" spans="2:12" s="90" customFormat="1" ht="10.199999999999999" x14ac:dyDescent="0.25">
      <c r="B546" s="166"/>
      <c r="C546" s="223"/>
      <c r="E546" s="75"/>
      <c r="F546" s="75"/>
      <c r="G546" s="85"/>
      <c r="H546" s="139"/>
      <c r="I546" s="295"/>
      <c r="L546" s="85"/>
    </row>
    <row r="547" spans="2:12" s="90" customFormat="1" ht="10.8" thickBot="1" x14ac:dyDescent="0.3">
      <c r="B547" s="166"/>
      <c r="C547" s="223"/>
      <c r="E547" s="75"/>
      <c r="F547" s="75"/>
      <c r="G547" s="85"/>
      <c r="H547" s="139"/>
      <c r="I547" s="292"/>
      <c r="L547" s="85"/>
    </row>
    <row r="548" spans="2:12" ht="14.4" thickBot="1" x14ac:dyDescent="0.3">
      <c r="B548" s="330" t="s">
        <v>18</v>
      </c>
      <c r="C548" s="330"/>
      <c r="D548" s="331" t="s">
        <v>19</v>
      </c>
      <c r="E548" s="331"/>
      <c r="F548" s="331"/>
      <c r="G548" s="331"/>
      <c r="H548" s="331"/>
      <c r="I548" s="291" t="s">
        <v>20</v>
      </c>
    </row>
    <row r="549" spans="2:12" ht="14.4" thickBot="1" x14ac:dyDescent="0.3">
      <c r="B549" s="329" t="s">
        <v>274</v>
      </c>
      <c r="C549" s="329"/>
      <c r="D549" s="332" t="s">
        <v>231</v>
      </c>
      <c r="E549" s="332"/>
      <c r="F549" s="332"/>
      <c r="G549" s="332"/>
      <c r="H549" s="332"/>
      <c r="I549" s="80" t="s">
        <v>472</v>
      </c>
    </row>
    <row r="550" spans="2:12" ht="14.4" thickBot="1" x14ac:dyDescent="0.3">
      <c r="B550" s="328" t="s">
        <v>21</v>
      </c>
      <c r="C550" s="328"/>
      <c r="D550" s="141"/>
      <c r="E550" s="82" t="s">
        <v>22</v>
      </c>
      <c r="F550" s="82" t="s">
        <v>23</v>
      </c>
      <c r="G550" s="88" t="s">
        <v>24</v>
      </c>
      <c r="H550" s="89" t="s">
        <v>25</v>
      </c>
      <c r="I550" s="226" t="s">
        <v>26</v>
      </c>
    </row>
    <row r="551" spans="2:12" ht="14.4" thickBot="1" x14ac:dyDescent="0.3">
      <c r="B551" s="156">
        <v>5044</v>
      </c>
      <c r="C551" s="151" t="s">
        <v>1</v>
      </c>
      <c r="D551" s="84" t="s">
        <v>232</v>
      </c>
      <c r="E551" s="75" t="s">
        <v>22</v>
      </c>
      <c r="F551" s="140">
        <v>1</v>
      </c>
      <c r="G551" s="77">
        <v>1</v>
      </c>
      <c r="H551" s="139">
        <v>1401.41</v>
      </c>
      <c r="I551" s="140">
        <f>F551*G551*H551</f>
        <v>1401.41</v>
      </c>
    </row>
    <row r="552" spans="2:12" ht="14.4" thickBot="1" x14ac:dyDescent="0.3">
      <c r="B552" s="328" t="s">
        <v>27</v>
      </c>
      <c r="C552" s="328"/>
      <c r="D552" s="141"/>
      <c r="E552" s="82" t="s">
        <v>22</v>
      </c>
      <c r="F552" s="82" t="s">
        <v>23</v>
      </c>
      <c r="G552" s="88" t="s">
        <v>24</v>
      </c>
      <c r="H552" s="89" t="s">
        <v>25</v>
      </c>
      <c r="I552" s="226" t="s">
        <v>26</v>
      </c>
    </row>
    <row r="553" spans="2:12" ht="25.5" customHeight="1" thickBot="1" x14ac:dyDescent="0.3">
      <c r="B553" s="156">
        <v>5928</v>
      </c>
      <c r="C553" s="151" t="s">
        <v>1</v>
      </c>
      <c r="D553" s="84" t="s">
        <v>166</v>
      </c>
      <c r="E553" s="75" t="s">
        <v>6</v>
      </c>
      <c r="F553" s="140">
        <v>1</v>
      </c>
      <c r="G553" s="77">
        <v>7.9000000000000001E-2</v>
      </c>
      <c r="H553" s="139">
        <v>229.82</v>
      </c>
      <c r="I553" s="140">
        <f>F553*G553*H553</f>
        <v>18.15578</v>
      </c>
    </row>
    <row r="554" spans="2:12" ht="14.4" thickBot="1" x14ac:dyDescent="0.3">
      <c r="B554" s="328" t="s">
        <v>28</v>
      </c>
      <c r="C554" s="328"/>
      <c r="D554" s="141"/>
      <c r="E554" s="82" t="s">
        <v>22</v>
      </c>
      <c r="F554" s="82" t="s">
        <v>23</v>
      </c>
      <c r="G554" s="88" t="s">
        <v>24</v>
      </c>
      <c r="H554" s="89" t="s">
        <v>25</v>
      </c>
      <c r="I554" s="226" t="s">
        <v>26</v>
      </c>
    </row>
    <row r="555" spans="2:12" x14ac:dyDescent="0.25">
      <c r="B555" s="156">
        <v>88247</v>
      </c>
      <c r="C555" s="151" t="s">
        <v>1</v>
      </c>
      <c r="D555" s="84" t="s">
        <v>95</v>
      </c>
      <c r="E555" s="75" t="s">
        <v>2</v>
      </c>
      <c r="F555" s="140">
        <v>1</v>
      </c>
      <c r="G555" s="77">
        <v>1.431</v>
      </c>
      <c r="H555" s="139">
        <v>15.19</v>
      </c>
      <c r="I555" s="140">
        <f>F555*G555*H555</f>
        <v>21.736889999999999</v>
      </c>
    </row>
    <row r="556" spans="2:12" ht="14.4" thickBot="1" x14ac:dyDescent="0.3">
      <c r="B556" s="156">
        <v>88264</v>
      </c>
      <c r="C556" s="151" t="s">
        <v>1</v>
      </c>
      <c r="D556" s="84" t="s">
        <v>3</v>
      </c>
      <c r="E556" s="75" t="s">
        <v>2</v>
      </c>
      <c r="F556" s="140">
        <v>1</v>
      </c>
      <c r="G556" s="77">
        <v>4.6500000000000004</v>
      </c>
      <c r="H556" s="139">
        <v>19.53</v>
      </c>
      <c r="I556" s="140">
        <f>F556*G556*H556</f>
        <v>90.81450000000001</v>
      </c>
    </row>
    <row r="557" spans="2:12" ht="14.4" thickBot="1" x14ac:dyDescent="0.3">
      <c r="B557" s="328" t="s">
        <v>29</v>
      </c>
      <c r="C557" s="328"/>
      <c r="D557" s="328"/>
      <c r="E557" s="328"/>
      <c r="F557" s="328"/>
      <c r="G557" s="328"/>
      <c r="H557" s="328"/>
      <c r="I557" s="296">
        <f>SUM(I551:I556)</f>
        <v>1532.11717</v>
      </c>
    </row>
    <row r="558" spans="2:12" s="90" customFormat="1" ht="10.199999999999999" x14ac:dyDescent="0.25">
      <c r="B558" s="166"/>
      <c r="C558" s="223" t="s">
        <v>30</v>
      </c>
      <c r="D558" s="90" t="s">
        <v>167</v>
      </c>
      <c r="E558" s="75"/>
      <c r="F558" s="75"/>
      <c r="G558" s="85"/>
      <c r="H558" s="139"/>
      <c r="I558" s="293"/>
      <c r="L558" s="85"/>
    </row>
    <row r="559" spans="2:12" s="90" customFormat="1" ht="10.199999999999999" x14ac:dyDescent="0.25">
      <c r="B559" s="166"/>
      <c r="C559" s="223"/>
      <c r="E559" s="75"/>
      <c r="F559" s="75"/>
      <c r="G559" s="85"/>
      <c r="H559" s="139"/>
      <c r="I559" s="295"/>
      <c r="L559" s="85"/>
    </row>
    <row r="560" spans="2:12" s="90" customFormat="1" ht="10.8" thickBot="1" x14ac:dyDescent="0.3">
      <c r="B560" s="166"/>
      <c r="C560" s="223"/>
      <c r="E560" s="75"/>
      <c r="F560" s="75"/>
      <c r="G560" s="85"/>
      <c r="H560" s="139"/>
      <c r="I560" s="292"/>
      <c r="L560" s="85"/>
    </row>
    <row r="561" spans="2:12" ht="14.4" thickBot="1" x14ac:dyDescent="0.3">
      <c r="B561" s="330" t="s">
        <v>18</v>
      </c>
      <c r="C561" s="330"/>
      <c r="D561" s="331" t="s">
        <v>19</v>
      </c>
      <c r="E561" s="331"/>
      <c r="F561" s="331"/>
      <c r="G561" s="331"/>
      <c r="H561" s="331"/>
      <c r="I561" s="291" t="s">
        <v>20</v>
      </c>
    </row>
    <row r="562" spans="2:12" ht="14.4" thickBot="1" x14ac:dyDescent="0.3">
      <c r="B562" s="329" t="s">
        <v>376</v>
      </c>
      <c r="C562" s="329"/>
      <c r="D562" s="332" t="s">
        <v>298</v>
      </c>
      <c r="E562" s="332"/>
      <c r="F562" s="332"/>
      <c r="G562" s="332"/>
      <c r="H562" s="332"/>
      <c r="I562" s="80" t="s">
        <v>472</v>
      </c>
    </row>
    <row r="563" spans="2:12" ht="14.4" thickBot="1" x14ac:dyDescent="0.3">
      <c r="B563" s="328" t="s">
        <v>21</v>
      </c>
      <c r="C563" s="328"/>
      <c r="D563" s="141"/>
      <c r="E563" s="82" t="s">
        <v>22</v>
      </c>
      <c r="F563" s="82" t="s">
        <v>23</v>
      </c>
      <c r="G563" s="88" t="s">
        <v>24</v>
      </c>
      <c r="H563" s="89" t="s">
        <v>25</v>
      </c>
      <c r="I563" s="226" t="s">
        <v>26</v>
      </c>
    </row>
    <row r="564" spans="2:12" x14ac:dyDescent="0.25">
      <c r="B564" s="156">
        <v>3756</v>
      </c>
      <c r="C564" s="151" t="s">
        <v>1</v>
      </c>
      <c r="D564" s="84" t="s">
        <v>240</v>
      </c>
      <c r="E564" s="75" t="s">
        <v>22</v>
      </c>
      <c r="F564" s="140">
        <v>1</v>
      </c>
      <c r="G564" s="77">
        <v>1</v>
      </c>
      <c r="H564" s="139">
        <v>44.1</v>
      </c>
      <c r="I564" s="140">
        <f>F564*G564*H564</f>
        <v>44.1</v>
      </c>
    </row>
    <row r="565" spans="2:12" x14ac:dyDescent="0.25">
      <c r="B565" s="156">
        <v>12318</v>
      </c>
      <c r="C565" s="151" t="s">
        <v>1</v>
      </c>
      <c r="D565" s="84" t="s">
        <v>238</v>
      </c>
      <c r="E565" s="75" t="s">
        <v>22</v>
      </c>
      <c r="F565" s="140">
        <v>1</v>
      </c>
      <c r="G565" s="77">
        <v>1</v>
      </c>
      <c r="H565" s="139">
        <v>232.1</v>
      </c>
      <c r="I565" s="140">
        <f>F565*G565*H565</f>
        <v>232.1</v>
      </c>
    </row>
    <row r="566" spans="2:12" x14ac:dyDescent="0.25">
      <c r="B566" s="156">
        <v>21127</v>
      </c>
      <c r="C566" s="151" t="s">
        <v>1</v>
      </c>
      <c r="D566" s="84" t="s">
        <v>237</v>
      </c>
      <c r="E566" s="75" t="s">
        <v>22</v>
      </c>
      <c r="F566" s="140">
        <v>1</v>
      </c>
      <c r="G566" s="77">
        <v>4.2000000000000003E-2</v>
      </c>
      <c r="H566" s="139">
        <v>3.95</v>
      </c>
      <c r="I566" s="140">
        <f>F566*G566*H566</f>
        <v>0.16590000000000002</v>
      </c>
    </row>
    <row r="567" spans="2:12" ht="14.4" thickBot="1" x14ac:dyDescent="0.3">
      <c r="B567" s="156">
        <v>2510</v>
      </c>
      <c r="C567" s="151" t="s">
        <v>1</v>
      </c>
      <c r="D567" s="84" t="s">
        <v>297</v>
      </c>
      <c r="E567" s="75" t="s">
        <v>7</v>
      </c>
      <c r="F567" s="140">
        <v>1</v>
      </c>
      <c r="G567" s="77">
        <v>7</v>
      </c>
      <c r="H567" s="139">
        <v>53.4</v>
      </c>
      <c r="I567" s="140">
        <f>F567*G567*H567</f>
        <v>373.8</v>
      </c>
    </row>
    <row r="568" spans="2:12" ht="14.4" thickBot="1" x14ac:dyDescent="0.3">
      <c r="B568" s="328" t="s">
        <v>28</v>
      </c>
      <c r="C568" s="328"/>
      <c r="D568" s="141"/>
      <c r="E568" s="82" t="s">
        <v>22</v>
      </c>
      <c r="F568" s="82" t="s">
        <v>23</v>
      </c>
      <c r="G568" s="88" t="s">
        <v>24</v>
      </c>
      <c r="H568" s="89" t="s">
        <v>25</v>
      </c>
      <c r="I568" s="226" t="s">
        <v>26</v>
      </c>
    </row>
    <row r="569" spans="2:12" x14ac:dyDescent="0.25">
      <c r="B569" s="156">
        <v>88247</v>
      </c>
      <c r="C569" s="151" t="s">
        <v>1</v>
      </c>
      <c r="D569" s="84" t="s">
        <v>95</v>
      </c>
      <c r="E569" s="75" t="s">
        <v>2</v>
      </c>
      <c r="F569" s="140">
        <v>1</v>
      </c>
      <c r="G569" s="77">
        <v>0.58879999999999999</v>
      </c>
      <c r="H569" s="139">
        <v>15.19</v>
      </c>
      <c r="I569" s="140">
        <f>F569*G569*H569</f>
        <v>8.9438719999999989</v>
      </c>
    </row>
    <row r="570" spans="2:12" ht="14.4" thickBot="1" x14ac:dyDescent="0.3">
      <c r="B570" s="156">
        <v>88264</v>
      </c>
      <c r="C570" s="151" t="s">
        <v>1</v>
      </c>
      <c r="D570" s="84" t="s">
        <v>3</v>
      </c>
      <c r="E570" s="75" t="s">
        <v>2</v>
      </c>
      <c r="F570" s="140">
        <v>1</v>
      </c>
      <c r="G570" s="77">
        <v>0.58879999999999999</v>
      </c>
      <c r="H570" s="139">
        <v>19.53</v>
      </c>
      <c r="I570" s="140">
        <f>F570*G570*H570</f>
        <v>11.499264</v>
      </c>
    </row>
    <row r="571" spans="2:12" ht="14.4" thickBot="1" x14ac:dyDescent="0.3">
      <c r="B571" s="328" t="s">
        <v>29</v>
      </c>
      <c r="C571" s="328"/>
      <c r="D571" s="328"/>
      <c r="E571" s="328"/>
      <c r="F571" s="328"/>
      <c r="G571" s="328"/>
      <c r="H571" s="328"/>
      <c r="I571" s="296">
        <f>SUM(I564:I570)</f>
        <v>670.60903600000006</v>
      </c>
    </row>
    <row r="572" spans="2:12" s="90" customFormat="1" ht="10.199999999999999" x14ac:dyDescent="0.25">
      <c r="B572" s="166"/>
      <c r="C572" s="223" t="s">
        <v>30</v>
      </c>
      <c r="D572" s="90" t="s">
        <v>239</v>
      </c>
      <c r="E572" s="75"/>
      <c r="F572" s="75"/>
      <c r="G572" s="85"/>
      <c r="H572" s="139"/>
      <c r="I572" s="293"/>
      <c r="L572" s="85"/>
    </row>
    <row r="573" spans="2:12" s="90" customFormat="1" ht="10.199999999999999" x14ac:dyDescent="0.25">
      <c r="B573" s="166"/>
      <c r="C573" s="223"/>
      <c r="E573" s="75"/>
      <c r="F573" s="75"/>
      <c r="G573" s="85"/>
      <c r="H573" s="139"/>
      <c r="I573" s="295"/>
      <c r="L573" s="85"/>
    </row>
    <row r="574" spans="2:12" s="90" customFormat="1" ht="10.8" thickBot="1" x14ac:dyDescent="0.3">
      <c r="B574" s="166"/>
      <c r="C574" s="223"/>
      <c r="E574" s="75"/>
      <c r="F574" s="75"/>
      <c r="G574" s="85"/>
      <c r="H574" s="139"/>
      <c r="I574" s="292"/>
      <c r="L574" s="85"/>
    </row>
    <row r="575" spans="2:12" ht="14.4" thickBot="1" x14ac:dyDescent="0.3">
      <c r="B575" s="330" t="s">
        <v>18</v>
      </c>
      <c r="C575" s="330"/>
      <c r="D575" s="331" t="s">
        <v>19</v>
      </c>
      <c r="E575" s="331"/>
      <c r="F575" s="331"/>
      <c r="G575" s="331"/>
      <c r="H575" s="331"/>
      <c r="I575" s="291" t="s">
        <v>20</v>
      </c>
    </row>
    <row r="576" spans="2:12" ht="14.4" thickBot="1" x14ac:dyDescent="0.3">
      <c r="B576" s="329" t="s">
        <v>382</v>
      </c>
      <c r="C576" s="329"/>
      <c r="D576" s="332" t="s">
        <v>242</v>
      </c>
      <c r="E576" s="332"/>
      <c r="F576" s="332"/>
      <c r="G576" s="332"/>
      <c r="H576" s="332"/>
      <c r="I576" s="80" t="s">
        <v>472</v>
      </c>
    </row>
    <row r="577" spans="2:12" ht="14.4" thickBot="1" x14ac:dyDescent="0.3">
      <c r="B577" s="328" t="s">
        <v>21</v>
      </c>
      <c r="C577" s="328"/>
      <c r="D577" s="141"/>
      <c r="E577" s="82" t="s">
        <v>22</v>
      </c>
      <c r="F577" s="82" t="s">
        <v>23</v>
      </c>
      <c r="G577" s="88" t="s">
        <v>24</v>
      </c>
      <c r="H577" s="89" t="s">
        <v>25</v>
      </c>
      <c r="I577" s="226" t="s">
        <v>26</v>
      </c>
    </row>
    <row r="578" spans="2:12" x14ac:dyDescent="0.25">
      <c r="B578" s="166"/>
      <c r="C578" s="151" t="s">
        <v>206</v>
      </c>
      <c r="D578" s="84" t="s">
        <v>243</v>
      </c>
      <c r="E578" s="75" t="s">
        <v>22</v>
      </c>
      <c r="F578" s="140">
        <v>1</v>
      </c>
      <c r="G578" s="77">
        <v>1</v>
      </c>
      <c r="H578" s="139">
        <v>60.47</v>
      </c>
      <c r="I578" s="140">
        <f>F578*G578*H578</f>
        <v>60.47</v>
      </c>
      <c r="J578" s="104"/>
    </row>
    <row r="579" spans="2:12" ht="14.4" thickBot="1" x14ac:dyDescent="0.3">
      <c r="B579" s="156">
        <v>21127</v>
      </c>
      <c r="C579" s="151" t="s">
        <v>1</v>
      </c>
      <c r="D579" s="84" t="s">
        <v>237</v>
      </c>
      <c r="E579" s="75" t="s">
        <v>22</v>
      </c>
      <c r="F579" s="140">
        <v>1</v>
      </c>
      <c r="G579" s="77">
        <v>4.2000000000000003E-2</v>
      </c>
      <c r="H579" s="139">
        <v>3.95</v>
      </c>
      <c r="I579" s="140">
        <f>F579*G579*H579</f>
        <v>0.16590000000000002</v>
      </c>
    </row>
    <row r="580" spans="2:12" ht="14.4" thickBot="1" x14ac:dyDescent="0.3">
      <c r="B580" s="328" t="s">
        <v>28</v>
      </c>
      <c r="C580" s="328"/>
      <c r="D580" s="141"/>
      <c r="E580" s="82" t="s">
        <v>22</v>
      </c>
      <c r="F580" s="82" t="s">
        <v>23</v>
      </c>
      <c r="G580" s="88" t="s">
        <v>24</v>
      </c>
      <c r="H580" s="89" t="s">
        <v>25</v>
      </c>
      <c r="I580" s="226" t="s">
        <v>26</v>
      </c>
    </row>
    <row r="581" spans="2:12" x14ac:dyDescent="0.25">
      <c r="B581" s="156">
        <v>88247</v>
      </c>
      <c r="C581" s="151" t="s">
        <v>1</v>
      </c>
      <c r="D581" s="84" t="s">
        <v>95</v>
      </c>
      <c r="E581" s="75" t="s">
        <v>2</v>
      </c>
      <c r="F581" s="140">
        <v>1</v>
      </c>
      <c r="G581" s="77">
        <v>0.58879999999999999</v>
      </c>
      <c r="H581" s="139">
        <v>15.19</v>
      </c>
      <c r="I581" s="140">
        <f>F581*G581*H581</f>
        <v>8.9438719999999989</v>
      </c>
    </row>
    <row r="582" spans="2:12" ht="14.4" thickBot="1" x14ac:dyDescent="0.3">
      <c r="B582" s="156">
        <v>88264</v>
      </c>
      <c r="C582" s="151" t="s">
        <v>1</v>
      </c>
      <c r="D582" s="84" t="s">
        <v>3</v>
      </c>
      <c r="E582" s="75" t="s">
        <v>2</v>
      </c>
      <c r="F582" s="140">
        <v>1</v>
      </c>
      <c r="G582" s="77">
        <v>0.58879999999999999</v>
      </c>
      <c r="H582" s="139">
        <v>19.53</v>
      </c>
      <c r="I582" s="140">
        <f>F582*G582*H582</f>
        <v>11.499264</v>
      </c>
    </row>
    <row r="583" spans="2:12" ht="14.4" thickBot="1" x14ac:dyDescent="0.3">
      <c r="B583" s="328" t="s">
        <v>29</v>
      </c>
      <c r="C583" s="328"/>
      <c r="D583" s="328"/>
      <c r="E583" s="328"/>
      <c r="F583" s="328"/>
      <c r="G583" s="328"/>
      <c r="H583" s="328"/>
      <c r="I583" s="296">
        <f>SUM(I578:I582)</f>
        <v>81.079035999999988</v>
      </c>
    </row>
    <row r="584" spans="2:12" s="90" customFormat="1" ht="10.199999999999999" x14ac:dyDescent="0.25">
      <c r="B584" s="166"/>
      <c r="C584" s="223" t="s">
        <v>30</v>
      </c>
      <c r="D584" s="90" t="s">
        <v>239</v>
      </c>
      <c r="E584" s="75"/>
      <c r="F584" s="75"/>
      <c r="G584" s="85"/>
      <c r="H584" s="139"/>
      <c r="I584" s="293"/>
      <c r="L584" s="85"/>
    </row>
    <row r="585" spans="2:12" s="90" customFormat="1" ht="10.199999999999999" x14ac:dyDescent="0.25">
      <c r="B585" s="166"/>
      <c r="C585" s="223"/>
      <c r="E585" s="75"/>
      <c r="F585" s="75"/>
      <c r="G585" s="85"/>
      <c r="H585" s="139"/>
      <c r="I585" s="295"/>
      <c r="L585" s="85"/>
    </row>
    <row r="586" spans="2:12" s="90" customFormat="1" ht="10.8" thickBot="1" x14ac:dyDescent="0.3">
      <c r="B586" s="166"/>
      <c r="C586" s="223"/>
      <c r="E586" s="75"/>
      <c r="F586" s="75"/>
      <c r="G586" s="85"/>
      <c r="H586" s="139"/>
      <c r="I586" s="292"/>
      <c r="L586" s="85"/>
    </row>
    <row r="587" spans="2:12" ht="14.4" thickBot="1" x14ac:dyDescent="0.3">
      <c r="B587" s="330" t="s">
        <v>18</v>
      </c>
      <c r="C587" s="330"/>
      <c r="D587" s="331" t="s">
        <v>19</v>
      </c>
      <c r="E587" s="331"/>
      <c r="F587" s="331"/>
      <c r="G587" s="331"/>
      <c r="H587" s="331"/>
      <c r="I587" s="291" t="s">
        <v>20</v>
      </c>
    </row>
    <row r="588" spans="2:12" ht="14.4" thickBot="1" x14ac:dyDescent="0.3">
      <c r="B588" s="329" t="s">
        <v>385</v>
      </c>
      <c r="C588" s="329"/>
      <c r="D588" s="78" t="s">
        <v>751</v>
      </c>
      <c r="E588" s="79"/>
      <c r="F588" s="79"/>
      <c r="G588" s="80"/>
      <c r="H588" s="81"/>
      <c r="I588" s="80" t="s">
        <v>472</v>
      </c>
    </row>
    <row r="589" spans="2:12" ht="14.4" thickBot="1" x14ac:dyDescent="0.3">
      <c r="B589" s="328" t="s">
        <v>21</v>
      </c>
      <c r="C589" s="328"/>
      <c r="D589" s="141"/>
      <c r="E589" s="82" t="s">
        <v>22</v>
      </c>
      <c r="F589" s="82" t="s">
        <v>23</v>
      </c>
      <c r="G589" s="88" t="s">
        <v>24</v>
      </c>
      <c r="H589" s="89" t="s">
        <v>25</v>
      </c>
      <c r="I589" s="226" t="s">
        <v>26</v>
      </c>
    </row>
    <row r="590" spans="2:12" ht="20.399999999999999" x14ac:dyDescent="0.25">
      <c r="B590" s="156">
        <v>1570</v>
      </c>
      <c r="C590" s="151" t="s">
        <v>1</v>
      </c>
      <c r="D590" s="84" t="s">
        <v>583</v>
      </c>
      <c r="E590" s="75" t="s">
        <v>22</v>
      </c>
      <c r="F590" s="140">
        <v>1</v>
      </c>
      <c r="G590" s="77">
        <v>10</v>
      </c>
      <c r="H590" s="87">
        <v>0.76</v>
      </c>
      <c r="I590" s="140">
        <f t="shared" ref="I590:I604" si="28">F590*G590*H590</f>
        <v>7.6</v>
      </c>
    </row>
    <row r="591" spans="2:12" x14ac:dyDescent="0.25">
      <c r="B591" s="156">
        <v>4374</v>
      </c>
      <c r="C591" s="151" t="s">
        <v>1</v>
      </c>
      <c r="D591" s="84" t="s">
        <v>584</v>
      </c>
      <c r="E591" s="75" t="s">
        <v>22</v>
      </c>
      <c r="F591" s="140">
        <v>1</v>
      </c>
      <c r="G591" s="77">
        <v>6</v>
      </c>
      <c r="H591" s="87">
        <v>0.37</v>
      </c>
      <c r="I591" s="140">
        <f t="shared" si="28"/>
        <v>2.2199999999999998</v>
      </c>
    </row>
    <row r="592" spans="2:12" x14ac:dyDescent="0.25">
      <c r="B592" s="156">
        <v>13294</v>
      </c>
      <c r="C592" s="151" t="s">
        <v>1</v>
      </c>
      <c r="D592" s="84" t="s">
        <v>585</v>
      </c>
      <c r="E592" s="75" t="s">
        <v>22</v>
      </c>
      <c r="F592" s="140">
        <v>1</v>
      </c>
      <c r="G592" s="77">
        <v>6</v>
      </c>
      <c r="H592" s="87">
        <v>1.71</v>
      </c>
      <c r="I592" s="140">
        <f t="shared" si="28"/>
        <v>10.26</v>
      </c>
    </row>
    <row r="593" spans="2:9" ht="20.399999999999999" x14ac:dyDescent="0.25">
      <c r="B593" s="156">
        <v>13348</v>
      </c>
      <c r="C593" s="151" t="s">
        <v>1</v>
      </c>
      <c r="D593" s="84" t="s">
        <v>586</v>
      </c>
      <c r="E593" s="75" t="s">
        <v>22</v>
      </c>
      <c r="F593" s="140">
        <v>1</v>
      </c>
      <c r="G593" s="77">
        <v>6</v>
      </c>
      <c r="H593" s="87">
        <v>0.92</v>
      </c>
      <c r="I593" s="140">
        <f t="shared" si="28"/>
        <v>5.5200000000000005</v>
      </c>
    </row>
    <row r="594" spans="2:9" ht="20.399999999999999" x14ac:dyDescent="0.25">
      <c r="B594" s="156">
        <v>13246</v>
      </c>
      <c r="C594" s="151" t="s">
        <v>1</v>
      </c>
      <c r="D594" s="84" t="s">
        <v>587</v>
      </c>
      <c r="E594" s="75" t="s">
        <v>22</v>
      </c>
      <c r="F594" s="140">
        <v>1</v>
      </c>
      <c r="G594" s="77">
        <v>4</v>
      </c>
      <c r="H594" s="87">
        <v>0.51</v>
      </c>
      <c r="I594" s="140">
        <f t="shared" si="28"/>
        <v>2.04</v>
      </c>
    </row>
    <row r="595" spans="2:9" ht="20.399999999999999" x14ac:dyDescent="0.25">
      <c r="B595" s="154">
        <v>39660</v>
      </c>
      <c r="C595" s="151" t="s">
        <v>1</v>
      </c>
      <c r="D595" s="84" t="s">
        <v>752</v>
      </c>
      <c r="E595" s="75" t="s">
        <v>8</v>
      </c>
      <c r="F595" s="140">
        <v>1</v>
      </c>
      <c r="G595" s="77">
        <v>10</v>
      </c>
      <c r="H595" s="139">
        <v>46.53</v>
      </c>
      <c r="I595" s="140">
        <f t="shared" si="28"/>
        <v>465.3</v>
      </c>
    </row>
    <row r="596" spans="2:9" x14ac:dyDescent="0.25">
      <c r="B596" s="155"/>
      <c r="C596" s="151" t="s">
        <v>206</v>
      </c>
      <c r="D596" s="84" t="s">
        <v>466</v>
      </c>
      <c r="E596" s="75" t="s">
        <v>8</v>
      </c>
      <c r="F596" s="140">
        <v>1</v>
      </c>
      <c r="G596" s="77">
        <v>10</v>
      </c>
      <c r="H596" s="139">
        <v>60.36</v>
      </c>
      <c r="I596" s="140">
        <f t="shared" si="28"/>
        <v>603.6</v>
      </c>
    </row>
    <row r="597" spans="2:9" x14ac:dyDescent="0.25">
      <c r="B597" s="156">
        <v>8146</v>
      </c>
      <c r="C597" s="151" t="s">
        <v>9</v>
      </c>
      <c r="D597" s="84" t="s">
        <v>462</v>
      </c>
      <c r="E597" s="75" t="s">
        <v>8</v>
      </c>
      <c r="F597" s="140">
        <v>1</v>
      </c>
      <c r="G597" s="77">
        <v>10</v>
      </c>
      <c r="H597" s="139">
        <v>1.46</v>
      </c>
      <c r="I597" s="140">
        <f t="shared" si="28"/>
        <v>14.6</v>
      </c>
    </row>
    <row r="598" spans="2:9" x14ac:dyDescent="0.25">
      <c r="B598" s="166">
        <v>7581</v>
      </c>
      <c r="C598" s="151" t="s">
        <v>9</v>
      </c>
      <c r="D598" s="2" t="s">
        <v>458</v>
      </c>
      <c r="E598" s="75" t="s">
        <v>8</v>
      </c>
      <c r="F598" s="140">
        <v>1</v>
      </c>
      <c r="G598" s="77">
        <v>10</v>
      </c>
      <c r="H598" s="139">
        <v>2.5</v>
      </c>
      <c r="I598" s="140">
        <f t="shared" si="28"/>
        <v>25</v>
      </c>
    </row>
    <row r="599" spans="2:9" x14ac:dyDescent="0.25">
      <c r="B599" s="156">
        <v>404</v>
      </c>
      <c r="C599" s="151" t="s">
        <v>1</v>
      </c>
      <c r="D599" s="84" t="s">
        <v>463</v>
      </c>
      <c r="E599" s="75" t="s">
        <v>8</v>
      </c>
      <c r="F599" s="140">
        <v>2</v>
      </c>
      <c r="G599" s="77">
        <v>1.25</v>
      </c>
      <c r="H599" s="139">
        <v>1.42</v>
      </c>
      <c r="I599" s="140">
        <f t="shared" si="28"/>
        <v>3.55</v>
      </c>
    </row>
    <row r="600" spans="2:9" x14ac:dyDescent="0.25">
      <c r="B600" s="154">
        <v>44397</v>
      </c>
      <c r="C600" s="151" t="s">
        <v>1</v>
      </c>
      <c r="D600" s="84" t="s">
        <v>459</v>
      </c>
      <c r="E600" s="75" t="s">
        <v>8</v>
      </c>
      <c r="F600" s="140">
        <v>2</v>
      </c>
      <c r="G600" s="77">
        <f>10/0.1319</f>
        <v>75.815011372251718</v>
      </c>
      <c r="H600" s="139">
        <v>1.52</v>
      </c>
      <c r="I600" s="140">
        <f t="shared" si="28"/>
        <v>230.47763457164521</v>
      </c>
    </row>
    <row r="601" spans="2:9" x14ac:dyDescent="0.25">
      <c r="B601" s="156">
        <v>11962</v>
      </c>
      <c r="C601" s="151" t="s">
        <v>1</v>
      </c>
      <c r="D601" s="84" t="s">
        <v>460</v>
      </c>
      <c r="E601" s="75" t="s">
        <v>22</v>
      </c>
      <c r="F601" s="140">
        <v>1</v>
      </c>
      <c r="G601" s="77">
        <v>10</v>
      </c>
      <c r="H601" s="139">
        <v>0.25</v>
      </c>
      <c r="I601" s="140">
        <f t="shared" si="28"/>
        <v>2.5</v>
      </c>
    </row>
    <row r="602" spans="2:9" x14ac:dyDescent="0.25">
      <c r="B602" s="156">
        <v>4376</v>
      </c>
      <c r="C602" s="151" t="s">
        <v>1</v>
      </c>
      <c r="D602" s="84" t="s">
        <v>441</v>
      </c>
      <c r="E602" s="75" t="s">
        <v>22</v>
      </c>
      <c r="F602" s="140">
        <v>1</v>
      </c>
      <c r="G602" s="77">
        <v>10</v>
      </c>
      <c r="H602" s="139">
        <v>0.19</v>
      </c>
      <c r="I602" s="140">
        <f t="shared" si="28"/>
        <v>1.9</v>
      </c>
    </row>
    <row r="603" spans="2:9" x14ac:dyDescent="0.25">
      <c r="B603" s="156">
        <v>5005</v>
      </c>
      <c r="C603" s="151" t="s">
        <v>9</v>
      </c>
      <c r="D603" s="84" t="s">
        <v>721</v>
      </c>
      <c r="E603" s="75" t="s">
        <v>22</v>
      </c>
      <c r="F603" s="140">
        <v>1</v>
      </c>
      <c r="G603" s="77">
        <v>10</v>
      </c>
      <c r="H603" s="139">
        <v>0.05</v>
      </c>
      <c r="I603" s="140">
        <f t="shared" si="28"/>
        <v>0.5</v>
      </c>
    </row>
    <row r="604" spans="2:9" x14ac:dyDescent="0.25">
      <c r="B604" s="156">
        <v>34622</v>
      </c>
      <c r="C604" s="151" t="s">
        <v>1</v>
      </c>
      <c r="D604" s="84" t="s">
        <v>461</v>
      </c>
      <c r="E604" s="75" t="s">
        <v>8</v>
      </c>
      <c r="F604" s="140">
        <v>1</v>
      </c>
      <c r="G604" s="77">
        <v>21</v>
      </c>
      <c r="H604" s="139">
        <v>26.3</v>
      </c>
      <c r="I604" s="140">
        <f t="shared" si="28"/>
        <v>552.30000000000007</v>
      </c>
    </row>
    <row r="605" spans="2:9" ht="20.399999999999999" x14ac:dyDescent="0.25">
      <c r="B605" s="154">
        <v>11267</v>
      </c>
      <c r="C605" s="151" t="s">
        <v>1</v>
      </c>
      <c r="D605" s="84" t="s">
        <v>468</v>
      </c>
      <c r="E605" s="75" t="s">
        <v>22</v>
      </c>
      <c r="F605" s="140">
        <v>1</v>
      </c>
      <c r="G605" s="77">
        <v>4</v>
      </c>
      <c r="H605" s="139">
        <v>0.8</v>
      </c>
      <c r="I605" s="140">
        <f>F605*G605*H605</f>
        <v>3.2</v>
      </c>
    </row>
    <row r="606" spans="2:9" x14ac:dyDescent="0.25">
      <c r="B606" s="154">
        <v>34</v>
      </c>
      <c r="C606" s="151" t="s">
        <v>1</v>
      </c>
      <c r="D606" s="84" t="s">
        <v>469</v>
      </c>
      <c r="E606" s="75" t="s">
        <v>82</v>
      </c>
      <c r="F606" s="140">
        <v>1</v>
      </c>
      <c r="G606" s="77">
        <v>5</v>
      </c>
      <c r="H606" s="139">
        <v>10.47</v>
      </c>
      <c r="I606" s="140">
        <f>F606*G606*H606</f>
        <v>52.35</v>
      </c>
    </row>
    <row r="607" spans="2:9" x14ac:dyDescent="0.25">
      <c r="B607" s="156">
        <v>4342</v>
      </c>
      <c r="C607" s="151" t="s">
        <v>1</v>
      </c>
      <c r="D607" s="84" t="s">
        <v>470</v>
      </c>
      <c r="E607" s="75" t="s">
        <v>22</v>
      </c>
      <c r="F607" s="140">
        <v>1</v>
      </c>
      <c r="G607" s="77">
        <v>4</v>
      </c>
      <c r="H607" s="139">
        <v>0.25</v>
      </c>
      <c r="I607" s="140">
        <f>F607*G607*H607</f>
        <v>1</v>
      </c>
    </row>
    <row r="608" spans="2:9" x14ac:dyDescent="0.25">
      <c r="B608" s="156">
        <v>11964</v>
      </c>
      <c r="C608" s="151" t="s">
        <v>1</v>
      </c>
      <c r="D608" s="2" t="s">
        <v>748</v>
      </c>
      <c r="E608" s="75" t="s">
        <v>22</v>
      </c>
      <c r="F608" s="140">
        <v>1</v>
      </c>
      <c r="G608" s="77">
        <v>4</v>
      </c>
      <c r="H608" s="139">
        <v>2.72</v>
      </c>
      <c r="I608" s="140">
        <f>F608*G608*H608</f>
        <v>10.88</v>
      </c>
    </row>
    <row r="609" spans="2:12" ht="14.4" thickBot="1" x14ac:dyDescent="0.3">
      <c r="B609" s="156">
        <v>40664</v>
      </c>
      <c r="C609" s="151" t="s">
        <v>1</v>
      </c>
      <c r="D609" s="84" t="s">
        <v>471</v>
      </c>
      <c r="E609" s="75" t="s">
        <v>82</v>
      </c>
      <c r="F609" s="140">
        <v>1</v>
      </c>
      <c r="G609" s="77">
        <v>2</v>
      </c>
      <c r="H609" s="139">
        <v>22.75</v>
      </c>
      <c r="I609" s="140">
        <f>F609*G609*H609</f>
        <v>45.5</v>
      </c>
    </row>
    <row r="610" spans="2:12" ht="14.4" thickBot="1" x14ac:dyDescent="0.3">
      <c r="B610" s="328" t="s">
        <v>27</v>
      </c>
      <c r="C610" s="328"/>
      <c r="D610" s="141"/>
      <c r="E610" s="82" t="s">
        <v>22</v>
      </c>
      <c r="F610" s="82" t="s">
        <v>23</v>
      </c>
      <c r="G610" s="88" t="s">
        <v>24</v>
      </c>
      <c r="H610" s="89" t="s">
        <v>25</v>
      </c>
      <c r="I610" s="226" t="s">
        <v>26</v>
      </c>
    </row>
    <row r="611" spans="2:12" ht="30.6" x14ac:dyDescent="0.25">
      <c r="B611" s="166" t="s">
        <v>620</v>
      </c>
      <c r="C611" s="151" t="s">
        <v>1</v>
      </c>
      <c r="D611" s="84" t="s">
        <v>621</v>
      </c>
      <c r="E611" s="75" t="s">
        <v>6</v>
      </c>
      <c r="F611" s="140">
        <v>1</v>
      </c>
      <c r="G611" s="77">
        <v>0.2059</v>
      </c>
      <c r="H611" s="87">
        <v>224.8</v>
      </c>
      <c r="I611" s="140">
        <f t="shared" ref="I611:I612" si="29">F611*G611*H611</f>
        <v>46.286320000000003</v>
      </c>
    </row>
    <row r="612" spans="2:12" ht="31.2" thickBot="1" x14ac:dyDescent="0.3">
      <c r="B612" s="166">
        <v>93403</v>
      </c>
      <c r="C612" s="151" t="s">
        <v>1</v>
      </c>
      <c r="D612" s="84" t="s">
        <v>622</v>
      </c>
      <c r="E612" s="75" t="s">
        <v>283</v>
      </c>
      <c r="F612" s="140">
        <v>1</v>
      </c>
      <c r="G612" s="77">
        <v>1.5165999999999999</v>
      </c>
      <c r="H612" s="87">
        <v>39.869999999999997</v>
      </c>
      <c r="I612" s="140">
        <f t="shared" si="29"/>
        <v>60.466841999999993</v>
      </c>
    </row>
    <row r="613" spans="2:12" ht="14.4" thickBot="1" x14ac:dyDescent="0.3">
      <c r="B613" s="328" t="s">
        <v>28</v>
      </c>
      <c r="C613" s="328"/>
      <c r="D613" s="141"/>
      <c r="E613" s="82" t="s">
        <v>22</v>
      </c>
      <c r="F613" s="82" t="s">
        <v>23</v>
      </c>
      <c r="G613" s="88" t="s">
        <v>24</v>
      </c>
      <c r="H613" s="89" t="s">
        <v>25</v>
      </c>
      <c r="I613" s="226" t="s">
        <v>26</v>
      </c>
    </row>
    <row r="614" spans="2:12" x14ac:dyDescent="0.25">
      <c r="B614" s="156">
        <v>100308</v>
      </c>
      <c r="C614" s="151" t="s">
        <v>1</v>
      </c>
      <c r="D614" s="84" t="s">
        <v>457</v>
      </c>
      <c r="E614" s="75" t="s">
        <v>2</v>
      </c>
      <c r="F614" s="140">
        <v>1</v>
      </c>
      <c r="G614" s="77">
        <f>21+4.5749</f>
        <v>25.5749</v>
      </c>
      <c r="H614" s="139">
        <v>20.87</v>
      </c>
      <c r="I614" s="140">
        <f>F614*G614*H614</f>
        <v>533.74816299999998</v>
      </c>
    </row>
    <row r="615" spans="2:12" x14ac:dyDescent="0.25">
      <c r="B615" s="155">
        <v>88243</v>
      </c>
      <c r="C615" s="151" t="s">
        <v>1</v>
      </c>
      <c r="D615" s="84" t="s">
        <v>588</v>
      </c>
      <c r="E615" s="75" t="s">
        <v>2</v>
      </c>
      <c r="F615" s="140">
        <v>1</v>
      </c>
      <c r="G615" s="77">
        <v>4.5749000000000004</v>
      </c>
      <c r="H615" s="87">
        <v>15.93</v>
      </c>
      <c r="I615" s="140">
        <f t="shared" ref="I615" si="30">F615*G615*H615</f>
        <v>72.878157000000002</v>
      </c>
    </row>
    <row r="616" spans="2:12" x14ac:dyDescent="0.25">
      <c r="B616" s="156">
        <v>88264</v>
      </c>
      <c r="C616" s="151" t="s">
        <v>1</v>
      </c>
      <c r="D616" s="84" t="s">
        <v>3</v>
      </c>
      <c r="E616" s="75" t="s">
        <v>2</v>
      </c>
      <c r="F616" s="140">
        <v>1</v>
      </c>
      <c r="G616" s="77">
        <v>21</v>
      </c>
      <c r="H616" s="139">
        <v>19.53</v>
      </c>
      <c r="I616" s="140">
        <f>F616*G616*H616</f>
        <v>410.13</v>
      </c>
    </row>
    <row r="617" spans="2:12" x14ac:dyDescent="0.25">
      <c r="B617" s="156">
        <v>88247</v>
      </c>
      <c r="C617" s="151" t="s">
        <v>1</v>
      </c>
      <c r="D617" s="84" t="s">
        <v>95</v>
      </c>
      <c r="E617" s="75" t="s">
        <v>2</v>
      </c>
      <c r="F617" s="140">
        <v>1</v>
      </c>
      <c r="G617" s="77">
        <v>21</v>
      </c>
      <c r="H617" s="139">
        <v>15.19</v>
      </c>
      <c r="I617" s="140">
        <f t="shared" ref="I617" si="31">F617*G617*H617</f>
        <v>318.99</v>
      </c>
    </row>
    <row r="618" spans="2:12" x14ac:dyDescent="0.25">
      <c r="B618" s="156">
        <v>88267</v>
      </c>
      <c r="C618" s="151" t="s">
        <v>1</v>
      </c>
      <c r="D618" s="84" t="s">
        <v>253</v>
      </c>
      <c r="E618" s="75" t="s">
        <v>2</v>
      </c>
      <c r="F618" s="140">
        <v>1</v>
      </c>
      <c r="G618" s="77">
        <v>0.4743</v>
      </c>
      <c r="H618" s="139">
        <v>18.72</v>
      </c>
      <c r="I618" s="140">
        <f>F618*G618*H618</f>
        <v>8.8788959999999992</v>
      </c>
    </row>
    <row r="619" spans="2:12" ht="14.4" thickBot="1" x14ac:dyDescent="0.3">
      <c r="B619" s="156">
        <v>88316</v>
      </c>
      <c r="C619" s="151" t="s">
        <v>1</v>
      </c>
      <c r="D619" s="84" t="s">
        <v>43</v>
      </c>
      <c r="E619" s="75" t="s">
        <v>2</v>
      </c>
      <c r="F619" s="140">
        <v>1</v>
      </c>
      <c r="G619" s="77">
        <v>0.14940000000000001</v>
      </c>
      <c r="H619" s="139">
        <v>15.16</v>
      </c>
      <c r="I619" s="140">
        <f>F619*G619*H619</f>
        <v>2.264904</v>
      </c>
    </row>
    <row r="620" spans="2:12" ht="14.4" thickBot="1" x14ac:dyDescent="0.3">
      <c r="B620" s="328" t="s">
        <v>29</v>
      </c>
      <c r="C620" s="328"/>
      <c r="D620" s="328"/>
      <c r="E620" s="328"/>
      <c r="F620" s="328"/>
      <c r="G620" s="328"/>
      <c r="H620" s="328"/>
      <c r="I620" s="296">
        <f>SUM(I590:I619)</f>
        <v>3493.9409165716456</v>
      </c>
    </row>
    <row r="621" spans="2:12" s="90" customFormat="1" ht="10.199999999999999" x14ac:dyDescent="0.25">
      <c r="B621" s="166"/>
      <c r="C621" s="223" t="s">
        <v>30</v>
      </c>
      <c r="D621" s="90" t="s">
        <v>749</v>
      </c>
      <c r="E621" s="75"/>
      <c r="F621" s="75"/>
      <c r="G621" s="85"/>
      <c r="H621" s="139"/>
      <c r="I621" s="293"/>
      <c r="L621" s="85"/>
    </row>
    <row r="622" spans="2:12" s="90" customFormat="1" ht="10.199999999999999" x14ac:dyDescent="0.25">
      <c r="B622" s="166"/>
      <c r="C622" s="223"/>
      <c r="E622" s="75"/>
      <c r="F622" s="75"/>
      <c r="G622" s="85"/>
      <c r="H622" s="139"/>
      <c r="I622" s="295"/>
      <c r="L622" s="85"/>
    </row>
    <row r="623" spans="2:12" s="90" customFormat="1" ht="10.8" thickBot="1" x14ac:dyDescent="0.3">
      <c r="B623" s="166"/>
      <c r="C623" s="223"/>
      <c r="E623" s="75"/>
      <c r="F623" s="75"/>
      <c r="G623" s="85"/>
      <c r="H623" s="139"/>
      <c r="I623" s="292"/>
      <c r="L623" s="85"/>
    </row>
    <row r="624" spans="2:12" ht="14.4" thickBot="1" x14ac:dyDescent="0.3">
      <c r="B624" s="330" t="s">
        <v>18</v>
      </c>
      <c r="C624" s="330"/>
      <c r="D624" s="331" t="s">
        <v>19</v>
      </c>
      <c r="E624" s="331"/>
      <c r="F624" s="331"/>
      <c r="G624" s="331"/>
      <c r="H624" s="331"/>
      <c r="I624" s="291" t="s">
        <v>20</v>
      </c>
    </row>
    <row r="625" spans="2:12" ht="14.4" thickBot="1" x14ac:dyDescent="0.3">
      <c r="B625" s="329" t="s">
        <v>391</v>
      </c>
      <c r="C625" s="329"/>
      <c r="D625" s="332" t="s">
        <v>1236</v>
      </c>
      <c r="E625" s="332"/>
      <c r="F625" s="332"/>
      <c r="G625" s="332"/>
      <c r="H625" s="332"/>
      <c r="I625" s="80" t="s">
        <v>472</v>
      </c>
    </row>
    <row r="626" spans="2:12" ht="14.4" thickBot="1" x14ac:dyDescent="0.3">
      <c r="B626" s="335" t="s">
        <v>21</v>
      </c>
      <c r="C626" s="335"/>
      <c r="D626" s="141"/>
      <c r="E626" s="82" t="s">
        <v>22</v>
      </c>
      <c r="F626" s="82" t="s">
        <v>23</v>
      </c>
      <c r="G626" s="88" t="s">
        <v>24</v>
      </c>
      <c r="H626" s="89" t="s">
        <v>25</v>
      </c>
      <c r="I626" s="226" t="s">
        <v>26</v>
      </c>
    </row>
    <row r="627" spans="2:12" x14ac:dyDescent="0.25">
      <c r="B627" s="166"/>
      <c r="C627" s="151" t="s">
        <v>206</v>
      </c>
      <c r="D627" s="84" t="s">
        <v>757</v>
      </c>
      <c r="E627" s="75" t="s">
        <v>8</v>
      </c>
      <c r="F627" s="140">
        <v>1</v>
      </c>
      <c r="G627" s="77">
        <v>4.5</v>
      </c>
      <c r="H627" s="139">
        <v>28.13</v>
      </c>
      <c r="I627" s="140">
        <f t="shared" ref="I627:I632" si="32">F627*G627*H627</f>
        <v>126.58499999999999</v>
      </c>
    </row>
    <row r="628" spans="2:12" x14ac:dyDescent="0.25">
      <c r="B628" s="166">
        <v>829</v>
      </c>
      <c r="C628" s="151" t="s">
        <v>1</v>
      </c>
      <c r="D628" s="84" t="s">
        <v>758</v>
      </c>
      <c r="E628" s="75" t="s">
        <v>472</v>
      </c>
      <c r="F628" s="140">
        <v>1</v>
      </c>
      <c r="G628" s="77">
        <v>1</v>
      </c>
      <c r="H628" s="139">
        <v>0.97</v>
      </c>
      <c r="I628" s="140">
        <f t="shared" si="32"/>
        <v>0.97</v>
      </c>
    </row>
    <row r="629" spans="2:12" ht="21" thickBot="1" x14ac:dyDescent="0.3">
      <c r="B629" s="166">
        <v>11927</v>
      </c>
      <c r="C629" s="151" t="s">
        <v>1</v>
      </c>
      <c r="D629" s="84" t="s">
        <v>761</v>
      </c>
      <c r="E629" s="75" t="s">
        <v>472</v>
      </c>
      <c r="F629" s="140">
        <v>1</v>
      </c>
      <c r="G629" s="77">
        <v>1</v>
      </c>
      <c r="H629" s="139">
        <v>8.84</v>
      </c>
      <c r="I629" s="140">
        <f t="shared" si="32"/>
        <v>8.84</v>
      </c>
    </row>
    <row r="630" spans="2:12" ht="14.4" thickBot="1" x14ac:dyDescent="0.3">
      <c r="B630" s="335" t="s">
        <v>27</v>
      </c>
      <c r="C630" s="335"/>
      <c r="D630" s="141"/>
      <c r="E630" s="82" t="s">
        <v>22</v>
      </c>
      <c r="F630" s="82" t="s">
        <v>23</v>
      </c>
      <c r="G630" s="88" t="s">
        <v>24</v>
      </c>
      <c r="H630" s="89" t="s">
        <v>25</v>
      </c>
      <c r="I630" s="226" t="s">
        <v>26</v>
      </c>
    </row>
    <row r="631" spans="2:12" ht="20.399999999999999" x14ac:dyDescent="0.25">
      <c r="B631" s="166">
        <v>89356</v>
      </c>
      <c r="C631" s="151" t="s">
        <v>1</v>
      </c>
      <c r="D631" s="84" t="s">
        <v>759</v>
      </c>
      <c r="E631" s="75" t="s">
        <v>8</v>
      </c>
      <c r="F631" s="140">
        <v>1</v>
      </c>
      <c r="G631" s="77">
        <v>0.6</v>
      </c>
      <c r="H631" s="139">
        <v>17.14</v>
      </c>
      <c r="I631" s="140">
        <f t="shared" si="32"/>
        <v>10.284000000000001</v>
      </c>
    </row>
    <row r="632" spans="2:12" ht="21" thickBot="1" x14ac:dyDescent="0.3">
      <c r="B632" s="166">
        <v>89408</v>
      </c>
      <c r="C632" s="151" t="s">
        <v>1</v>
      </c>
      <c r="D632" s="84" t="s">
        <v>760</v>
      </c>
      <c r="E632" s="75" t="s">
        <v>22</v>
      </c>
      <c r="F632" s="140">
        <v>1</v>
      </c>
      <c r="G632" s="77">
        <v>4</v>
      </c>
      <c r="H632" s="139">
        <v>5.14</v>
      </c>
      <c r="I632" s="140">
        <f t="shared" si="32"/>
        <v>20.56</v>
      </c>
    </row>
    <row r="633" spans="2:12" ht="14.4" thickBot="1" x14ac:dyDescent="0.3">
      <c r="B633" s="335" t="s">
        <v>28</v>
      </c>
      <c r="C633" s="335"/>
      <c r="D633" s="141"/>
      <c r="E633" s="82" t="s">
        <v>22</v>
      </c>
      <c r="F633" s="82" t="s">
        <v>23</v>
      </c>
      <c r="G633" s="88" t="s">
        <v>24</v>
      </c>
      <c r="H633" s="89" t="s">
        <v>25</v>
      </c>
      <c r="I633" s="226" t="s">
        <v>26</v>
      </c>
    </row>
    <row r="634" spans="2:12" x14ac:dyDescent="0.25">
      <c r="B634" s="154">
        <v>88248</v>
      </c>
      <c r="C634" s="151" t="s">
        <v>1</v>
      </c>
      <c r="D634" s="84" t="s">
        <v>755</v>
      </c>
      <c r="E634" s="75" t="s">
        <v>2</v>
      </c>
      <c r="F634" s="140">
        <v>1</v>
      </c>
      <c r="G634" s="77">
        <f>0.1247</f>
        <v>0.12470000000000001</v>
      </c>
      <c r="H634" s="139">
        <v>15.54</v>
      </c>
      <c r="I634" s="140">
        <f t="shared" ref="I634:I635" si="33">F634*G634*H634</f>
        <v>1.9378379999999999</v>
      </c>
    </row>
    <row r="635" spans="2:12" ht="14.4" thickBot="1" x14ac:dyDescent="0.3">
      <c r="B635" s="156">
        <v>88267</v>
      </c>
      <c r="C635" s="151" t="s">
        <v>1</v>
      </c>
      <c r="D635" s="84" t="s">
        <v>756</v>
      </c>
      <c r="E635" s="75" t="s">
        <v>2</v>
      </c>
      <c r="F635" s="140">
        <v>1</v>
      </c>
      <c r="G635" s="77">
        <f>0.4115</f>
        <v>0.41149999999999998</v>
      </c>
      <c r="H635" s="139">
        <v>18.72</v>
      </c>
      <c r="I635" s="140">
        <f t="shared" si="33"/>
        <v>7.7032799999999995</v>
      </c>
    </row>
    <row r="636" spans="2:12" ht="14.4" thickBot="1" x14ac:dyDescent="0.3">
      <c r="B636" s="328" t="s">
        <v>29</v>
      </c>
      <c r="C636" s="328"/>
      <c r="D636" s="328"/>
      <c r="E636" s="328"/>
      <c r="F636" s="328"/>
      <c r="G636" s="328"/>
      <c r="H636" s="328"/>
      <c r="I636" s="296">
        <f>SUM(I627:I635)</f>
        <v>176.88011799999998</v>
      </c>
    </row>
    <row r="637" spans="2:12" s="90" customFormat="1" ht="10.199999999999999" x14ac:dyDescent="0.25">
      <c r="B637" s="166"/>
      <c r="C637" s="223" t="s">
        <v>30</v>
      </c>
      <c r="D637" s="90" t="s">
        <v>754</v>
      </c>
      <c r="E637" s="75"/>
      <c r="F637" s="75"/>
      <c r="G637" s="85"/>
      <c r="H637" s="139"/>
      <c r="I637" s="293"/>
      <c r="L637" s="85"/>
    </row>
    <row r="638" spans="2:12" s="90" customFormat="1" ht="10.199999999999999" x14ac:dyDescent="0.25">
      <c r="B638" s="166"/>
      <c r="C638" s="223"/>
      <c r="E638" s="75"/>
      <c r="F638" s="75"/>
      <c r="G638" s="85"/>
      <c r="H638" s="139"/>
      <c r="I638" s="295"/>
      <c r="L638" s="85"/>
    </row>
    <row r="639" spans="2:12" s="90" customFormat="1" ht="10.8" thickBot="1" x14ac:dyDescent="0.3">
      <c r="B639" s="166"/>
      <c r="C639" s="223"/>
      <c r="E639" s="75"/>
      <c r="F639" s="75"/>
      <c r="G639" s="85"/>
      <c r="H639" s="139"/>
      <c r="I639" s="292"/>
      <c r="L639" s="85"/>
    </row>
    <row r="640" spans="2:12" ht="14.4" thickBot="1" x14ac:dyDescent="0.3">
      <c r="B640" s="330" t="s">
        <v>18</v>
      </c>
      <c r="C640" s="330"/>
      <c r="D640" s="331" t="s">
        <v>19</v>
      </c>
      <c r="E640" s="331"/>
      <c r="F640" s="331"/>
      <c r="G640" s="331"/>
      <c r="H640" s="331"/>
      <c r="I640" s="291" t="s">
        <v>20</v>
      </c>
    </row>
    <row r="641" spans="2:12" ht="14.4" thickBot="1" x14ac:dyDescent="0.3">
      <c r="B641" s="329" t="s">
        <v>395</v>
      </c>
      <c r="C641" s="329"/>
      <c r="D641" s="332" t="s">
        <v>643</v>
      </c>
      <c r="E641" s="332"/>
      <c r="F641" s="332"/>
      <c r="G641" s="332"/>
      <c r="H641" s="332"/>
      <c r="I641" s="80" t="s">
        <v>472</v>
      </c>
    </row>
    <row r="642" spans="2:12" ht="14.4" thickBot="1" x14ac:dyDescent="0.3">
      <c r="B642" s="335" t="s">
        <v>21</v>
      </c>
      <c r="C642" s="335"/>
      <c r="D642" s="141"/>
      <c r="E642" s="226" t="s">
        <v>22</v>
      </c>
      <c r="F642" s="226" t="s">
        <v>23</v>
      </c>
      <c r="G642" s="88" t="s">
        <v>24</v>
      </c>
      <c r="H642" s="89" t="s">
        <v>25</v>
      </c>
      <c r="I642" s="226" t="s">
        <v>26</v>
      </c>
    </row>
    <row r="643" spans="2:12" x14ac:dyDescent="0.25">
      <c r="B643" s="166">
        <v>20065</v>
      </c>
      <c r="C643" s="151" t="s">
        <v>1</v>
      </c>
      <c r="D643" s="84" t="s">
        <v>618</v>
      </c>
      <c r="E643" s="75" t="s">
        <v>8</v>
      </c>
      <c r="F643" s="140">
        <v>3.8</v>
      </c>
      <c r="G643" s="77">
        <v>1</v>
      </c>
      <c r="H643" s="139">
        <v>46.48</v>
      </c>
      <c r="I643" s="140">
        <f t="shared" ref="I643:I645" si="34">F643*G643*H643</f>
        <v>176.62399999999997</v>
      </c>
    </row>
    <row r="644" spans="2:12" x14ac:dyDescent="0.25">
      <c r="B644" s="166">
        <v>38124</v>
      </c>
      <c r="C644" s="151" t="s">
        <v>1</v>
      </c>
      <c r="D644" s="84" t="s">
        <v>619</v>
      </c>
      <c r="E644" s="75" t="s">
        <v>22</v>
      </c>
      <c r="F644" s="140">
        <f>((0.017*3.8)*1000)/20</f>
        <v>3.2300000000000004</v>
      </c>
      <c r="G644" s="77">
        <v>1</v>
      </c>
      <c r="H644" s="139">
        <v>31.74</v>
      </c>
      <c r="I644" s="140">
        <f t="shared" si="34"/>
        <v>102.5202</v>
      </c>
    </row>
    <row r="645" spans="2:12" ht="14.4" thickBot="1" x14ac:dyDescent="0.3">
      <c r="B645" s="166">
        <v>44397</v>
      </c>
      <c r="C645" s="151" t="s">
        <v>1</v>
      </c>
      <c r="D645" s="84" t="s">
        <v>459</v>
      </c>
      <c r="E645" s="75" t="s">
        <v>8</v>
      </c>
      <c r="F645" s="140">
        <v>0.5</v>
      </c>
      <c r="G645" s="77">
        <v>4</v>
      </c>
      <c r="H645" s="139">
        <v>1.52</v>
      </c>
      <c r="I645" s="140">
        <f t="shared" si="34"/>
        <v>3.04</v>
      </c>
    </row>
    <row r="646" spans="2:12" ht="14.4" thickBot="1" x14ac:dyDescent="0.3">
      <c r="B646" s="335" t="s">
        <v>28</v>
      </c>
      <c r="C646" s="335"/>
      <c r="D646" s="141"/>
      <c r="E646" s="226" t="s">
        <v>22</v>
      </c>
      <c r="F646" s="226" t="s">
        <v>23</v>
      </c>
      <c r="G646" s="88" t="s">
        <v>24</v>
      </c>
      <c r="H646" s="89" t="s">
        <v>25</v>
      </c>
      <c r="I646" s="226" t="s">
        <v>26</v>
      </c>
    </row>
    <row r="647" spans="2:12" ht="14.4" thickBot="1" x14ac:dyDescent="0.3">
      <c r="B647" s="166">
        <v>88248</v>
      </c>
      <c r="C647" s="151" t="s">
        <v>1</v>
      </c>
      <c r="D647" s="84" t="s">
        <v>252</v>
      </c>
      <c r="E647" s="75" t="s">
        <v>2</v>
      </c>
      <c r="F647" s="140">
        <v>1</v>
      </c>
      <c r="G647" s="77">
        <v>0.5</v>
      </c>
      <c r="H647" s="139">
        <v>15.54</v>
      </c>
      <c r="I647" s="140">
        <f t="shared" ref="I647" si="35">F647*G647*H647</f>
        <v>7.77</v>
      </c>
    </row>
    <row r="648" spans="2:12" ht="14.4" thickBot="1" x14ac:dyDescent="0.3">
      <c r="B648" s="328" t="s">
        <v>29</v>
      </c>
      <c r="C648" s="328"/>
      <c r="D648" s="328"/>
      <c r="E648" s="328"/>
      <c r="F648" s="328"/>
      <c r="G648" s="328"/>
      <c r="H648" s="328"/>
      <c r="I648" s="296">
        <f>SUM(I643:I647)</f>
        <v>289.95419999999996</v>
      </c>
    </row>
    <row r="649" spans="2:12" s="90" customFormat="1" ht="10.199999999999999" x14ac:dyDescent="0.25">
      <c r="B649" s="166"/>
      <c r="C649" s="223" t="s">
        <v>30</v>
      </c>
      <c r="D649" s="90" t="s">
        <v>473</v>
      </c>
      <c r="E649" s="75"/>
      <c r="F649" s="75"/>
      <c r="G649" s="85"/>
      <c r="H649" s="139"/>
      <c r="I649" s="293"/>
      <c r="L649" s="85"/>
    </row>
    <row r="650" spans="2:12" s="90" customFormat="1" ht="10.199999999999999" x14ac:dyDescent="0.25">
      <c r="B650" s="166"/>
      <c r="C650" s="223"/>
      <c r="E650" s="75"/>
      <c r="F650" s="75"/>
      <c r="G650" s="85"/>
      <c r="H650" s="139"/>
      <c r="I650" s="295"/>
      <c r="L650" s="85"/>
    </row>
    <row r="651" spans="2:12" s="90" customFormat="1" ht="10.8" thickBot="1" x14ac:dyDescent="0.3">
      <c r="B651" s="166"/>
      <c r="C651" s="223"/>
      <c r="E651" s="75"/>
      <c r="F651" s="75"/>
      <c r="G651" s="85"/>
      <c r="H651" s="139"/>
      <c r="I651" s="292"/>
      <c r="L651" s="85"/>
    </row>
    <row r="652" spans="2:12" ht="14.4" thickBot="1" x14ac:dyDescent="0.3">
      <c r="B652" s="330" t="s">
        <v>18</v>
      </c>
      <c r="C652" s="330"/>
      <c r="D652" s="331" t="s">
        <v>19</v>
      </c>
      <c r="E652" s="331"/>
      <c r="F652" s="331"/>
      <c r="G652" s="331"/>
      <c r="H652" s="331"/>
      <c r="I652" s="291" t="s">
        <v>20</v>
      </c>
    </row>
    <row r="653" spans="2:12" ht="14.4" thickBot="1" x14ac:dyDescent="0.3">
      <c r="B653" s="329" t="s">
        <v>401</v>
      </c>
      <c r="C653" s="329"/>
      <c r="D653" s="332" t="s">
        <v>492</v>
      </c>
      <c r="E653" s="332"/>
      <c r="F653" s="332"/>
      <c r="G653" s="332"/>
      <c r="H653" s="332"/>
      <c r="I653" s="80" t="s">
        <v>37</v>
      </c>
    </row>
    <row r="654" spans="2:12" ht="14.4" thickBot="1" x14ac:dyDescent="0.3">
      <c r="B654" s="335" t="s">
        <v>21</v>
      </c>
      <c r="C654" s="335"/>
      <c r="D654" s="141"/>
      <c r="E654" s="226" t="s">
        <v>22</v>
      </c>
      <c r="F654" s="226" t="s">
        <v>23</v>
      </c>
      <c r="G654" s="88" t="s">
        <v>24</v>
      </c>
      <c r="H654" s="89" t="s">
        <v>25</v>
      </c>
      <c r="I654" s="226" t="s">
        <v>26</v>
      </c>
    </row>
    <row r="655" spans="2:12" ht="14.4" thickBot="1" x14ac:dyDescent="0.3">
      <c r="B655" s="166"/>
      <c r="C655" s="151" t="s">
        <v>206</v>
      </c>
      <c r="D655" s="84" t="s">
        <v>493</v>
      </c>
      <c r="E655" s="75" t="s">
        <v>37</v>
      </c>
      <c r="F655" s="140">
        <v>1</v>
      </c>
      <c r="G655" s="77">
        <v>2</v>
      </c>
      <c r="H655" s="139">
        <v>413.17</v>
      </c>
      <c r="I655" s="140">
        <f>F655*G655*H655</f>
        <v>826.34</v>
      </c>
    </row>
    <row r="656" spans="2:12" ht="14.4" thickBot="1" x14ac:dyDescent="0.3">
      <c r="B656" s="335" t="s">
        <v>28</v>
      </c>
      <c r="C656" s="335"/>
      <c r="D656" s="141"/>
      <c r="E656" s="226" t="s">
        <v>22</v>
      </c>
      <c r="F656" s="226" t="s">
        <v>23</v>
      </c>
      <c r="G656" s="88" t="s">
        <v>24</v>
      </c>
      <c r="H656" s="89" t="s">
        <v>25</v>
      </c>
      <c r="I656" s="226" t="s">
        <v>26</v>
      </c>
    </row>
    <row r="657" spans="2:12" x14ac:dyDescent="0.25">
      <c r="B657" s="166">
        <v>88277</v>
      </c>
      <c r="C657" s="151" t="s">
        <v>1</v>
      </c>
      <c r="D657" s="84" t="s">
        <v>503</v>
      </c>
      <c r="E657" s="75" t="s">
        <v>2</v>
      </c>
      <c r="F657" s="140">
        <v>1</v>
      </c>
      <c r="G657" s="77">
        <v>5.95</v>
      </c>
      <c r="H657" s="139">
        <v>14.49</v>
      </c>
      <c r="I657" s="140">
        <f>F657*G657*H657</f>
        <v>86.215500000000006</v>
      </c>
    </row>
    <row r="658" spans="2:12" ht="14.4" thickBot="1" x14ac:dyDescent="0.3">
      <c r="B658" s="166">
        <v>88316</v>
      </c>
      <c r="C658" s="151" t="s">
        <v>1</v>
      </c>
      <c r="D658" s="84" t="s">
        <v>43</v>
      </c>
      <c r="E658" s="75" t="s">
        <v>2</v>
      </c>
      <c r="F658" s="140">
        <v>1</v>
      </c>
      <c r="G658" s="77">
        <v>5.95</v>
      </c>
      <c r="H658" s="139">
        <v>15.16</v>
      </c>
      <c r="I658" s="140">
        <f>F658*G658*H658</f>
        <v>90.201999999999998</v>
      </c>
    </row>
    <row r="659" spans="2:12" ht="14.4" thickBot="1" x14ac:dyDescent="0.3">
      <c r="B659" s="328" t="s">
        <v>29</v>
      </c>
      <c r="C659" s="328"/>
      <c r="D659" s="328"/>
      <c r="E659" s="328"/>
      <c r="F659" s="328"/>
      <c r="G659" s="328"/>
      <c r="H659" s="328"/>
      <c r="I659" s="296">
        <f>SUM(I655:I658)</f>
        <v>1002.7575000000001</v>
      </c>
    </row>
    <row r="660" spans="2:12" s="90" customFormat="1" ht="10.199999999999999" x14ac:dyDescent="0.25">
      <c r="B660" s="166"/>
      <c r="C660" s="223" t="s">
        <v>30</v>
      </c>
      <c r="D660" s="90" t="s">
        <v>491</v>
      </c>
      <c r="E660" s="75"/>
      <c r="F660" s="75"/>
      <c r="G660" s="85"/>
      <c r="H660" s="139"/>
      <c r="I660" s="293"/>
      <c r="L660" s="85"/>
    </row>
    <row r="661" spans="2:12" s="90" customFormat="1" ht="10.199999999999999" x14ac:dyDescent="0.25">
      <c r="B661" s="166"/>
      <c r="C661" s="223"/>
      <c r="E661" s="75"/>
      <c r="F661" s="75"/>
      <c r="G661" s="85"/>
      <c r="H661" s="139"/>
      <c r="I661" s="295"/>
      <c r="L661" s="85"/>
    </row>
    <row r="662" spans="2:12" s="90" customFormat="1" ht="10.8" thickBot="1" x14ac:dyDescent="0.3">
      <c r="B662" s="166"/>
      <c r="C662" s="223"/>
      <c r="E662" s="75"/>
      <c r="F662" s="75"/>
      <c r="G662" s="85"/>
      <c r="H662" s="139"/>
      <c r="I662" s="292"/>
      <c r="L662" s="85"/>
    </row>
    <row r="663" spans="2:12" ht="14.4" thickBot="1" x14ac:dyDescent="0.3">
      <c r="B663" s="330" t="s">
        <v>18</v>
      </c>
      <c r="C663" s="330"/>
      <c r="D663" s="331" t="s">
        <v>19</v>
      </c>
      <c r="E663" s="331"/>
      <c r="F663" s="331"/>
      <c r="G663" s="331"/>
      <c r="H663" s="331"/>
      <c r="I663" s="291" t="s">
        <v>20</v>
      </c>
    </row>
    <row r="664" spans="2:12" ht="15" customHeight="1" thickBot="1" x14ac:dyDescent="0.3">
      <c r="B664" s="336" t="s">
        <v>415</v>
      </c>
      <c r="C664" s="336"/>
      <c r="D664" s="332" t="s">
        <v>497</v>
      </c>
      <c r="E664" s="332"/>
      <c r="F664" s="332"/>
      <c r="G664" s="332"/>
      <c r="H664" s="332"/>
      <c r="I664" s="80" t="s">
        <v>37</v>
      </c>
    </row>
    <row r="665" spans="2:12" ht="14.4" thickBot="1" x14ac:dyDescent="0.3">
      <c r="B665" s="335" t="s">
        <v>21</v>
      </c>
      <c r="C665" s="335"/>
      <c r="D665" s="141"/>
      <c r="E665" s="226" t="s">
        <v>22</v>
      </c>
      <c r="F665" s="226" t="s">
        <v>23</v>
      </c>
      <c r="G665" s="88" t="s">
        <v>24</v>
      </c>
      <c r="H665" s="89" t="s">
        <v>25</v>
      </c>
      <c r="I665" s="226" t="s">
        <v>26</v>
      </c>
    </row>
    <row r="666" spans="2:12" ht="14.4" thickBot="1" x14ac:dyDescent="0.3">
      <c r="B666" s="166"/>
      <c r="C666" s="151" t="s">
        <v>206</v>
      </c>
      <c r="D666" s="84" t="s">
        <v>498</v>
      </c>
      <c r="E666" s="75" t="s">
        <v>37</v>
      </c>
      <c r="F666" s="140">
        <v>1</v>
      </c>
      <c r="G666" s="77">
        <v>1.9</v>
      </c>
      <c r="H666" s="139">
        <v>78.260000000000005</v>
      </c>
      <c r="I666" s="140">
        <f>F666*G666*H666</f>
        <v>148.69400000000002</v>
      </c>
    </row>
    <row r="667" spans="2:12" ht="14.4" thickBot="1" x14ac:dyDescent="0.3">
      <c r="B667" s="335" t="s">
        <v>28</v>
      </c>
      <c r="C667" s="335"/>
      <c r="D667" s="141"/>
      <c r="E667" s="226" t="s">
        <v>22</v>
      </c>
      <c r="F667" s="226" t="s">
        <v>23</v>
      </c>
      <c r="G667" s="88" t="s">
        <v>24</v>
      </c>
      <c r="H667" s="89" t="s">
        <v>25</v>
      </c>
      <c r="I667" s="226" t="s">
        <v>26</v>
      </c>
    </row>
    <row r="668" spans="2:12" x14ac:dyDescent="0.25">
      <c r="B668" s="166">
        <v>88277</v>
      </c>
      <c r="C668" s="151" t="s">
        <v>1</v>
      </c>
      <c r="D668" s="84" t="s">
        <v>502</v>
      </c>
      <c r="E668" s="75" t="s">
        <v>2</v>
      </c>
      <c r="F668" s="140">
        <v>1</v>
      </c>
      <c r="G668" s="77">
        <v>5.95</v>
      </c>
      <c r="H668" s="139">
        <v>14.49</v>
      </c>
      <c r="I668" s="140">
        <f>F668*G668*H668</f>
        <v>86.215500000000006</v>
      </c>
    </row>
    <row r="669" spans="2:12" ht="14.4" thickBot="1" x14ac:dyDescent="0.3">
      <c r="B669" s="166">
        <v>88316</v>
      </c>
      <c r="C669" s="151" t="s">
        <v>1</v>
      </c>
      <c r="D669" s="84" t="s">
        <v>43</v>
      </c>
      <c r="E669" s="75" t="s">
        <v>2</v>
      </c>
      <c r="F669" s="140">
        <v>1</v>
      </c>
      <c r="G669" s="77">
        <v>5.95</v>
      </c>
      <c r="H669" s="139">
        <v>15.16</v>
      </c>
      <c r="I669" s="140">
        <f>F669*G669*H669</f>
        <v>90.201999999999998</v>
      </c>
    </row>
    <row r="670" spans="2:12" ht="14.4" thickBot="1" x14ac:dyDescent="0.3">
      <c r="B670" s="328" t="s">
        <v>29</v>
      </c>
      <c r="C670" s="328"/>
      <c r="D670" s="328"/>
      <c r="E670" s="328"/>
      <c r="F670" s="328"/>
      <c r="G670" s="328"/>
      <c r="H670" s="328"/>
      <c r="I670" s="296">
        <f>SUM(I666:I669)</f>
        <v>325.11150000000004</v>
      </c>
    </row>
    <row r="671" spans="2:12" s="90" customFormat="1" ht="10.199999999999999" x14ac:dyDescent="0.25">
      <c r="B671" s="166"/>
      <c r="C671" s="223" t="s">
        <v>30</v>
      </c>
      <c r="D671" s="90" t="s">
        <v>491</v>
      </c>
      <c r="E671" s="75"/>
      <c r="F671" s="75"/>
      <c r="G671" s="85"/>
      <c r="H671" s="139"/>
      <c r="I671" s="293"/>
      <c r="L671" s="85"/>
    </row>
    <row r="672" spans="2:12" s="90" customFormat="1" ht="10.199999999999999" x14ac:dyDescent="0.25">
      <c r="B672" s="166"/>
      <c r="C672" s="223"/>
      <c r="E672" s="75"/>
      <c r="F672" s="75"/>
      <c r="G672" s="85"/>
      <c r="H672" s="139"/>
      <c r="I672" s="295"/>
      <c r="L672" s="85"/>
    </row>
    <row r="673" spans="2:12" s="90" customFormat="1" ht="10.8" thickBot="1" x14ac:dyDescent="0.3">
      <c r="B673" s="166"/>
      <c r="C673" s="223"/>
      <c r="E673" s="75"/>
      <c r="F673" s="75"/>
      <c r="G673" s="85"/>
      <c r="H673" s="139"/>
      <c r="I673" s="292"/>
      <c r="L673" s="85"/>
    </row>
    <row r="674" spans="2:12" ht="14.4" thickBot="1" x14ac:dyDescent="0.3">
      <c r="B674" s="330" t="s">
        <v>18</v>
      </c>
      <c r="C674" s="330"/>
      <c r="D674" s="331" t="s">
        <v>19</v>
      </c>
      <c r="E674" s="331"/>
      <c r="F674" s="331"/>
      <c r="G674" s="331"/>
      <c r="H674" s="331"/>
      <c r="I674" s="291" t="s">
        <v>20</v>
      </c>
    </row>
    <row r="675" spans="2:12" ht="15" customHeight="1" thickBot="1" x14ac:dyDescent="0.3">
      <c r="B675" s="336" t="s">
        <v>419</v>
      </c>
      <c r="C675" s="336"/>
      <c r="D675" s="332" t="s">
        <v>740</v>
      </c>
      <c r="E675" s="332"/>
      <c r="F675" s="332"/>
      <c r="G675" s="332"/>
      <c r="H675" s="332"/>
      <c r="I675" s="80" t="s">
        <v>472</v>
      </c>
    </row>
    <row r="676" spans="2:12" ht="15" customHeight="1" thickBot="1" x14ac:dyDescent="0.3">
      <c r="B676" s="335" t="s">
        <v>21</v>
      </c>
      <c r="C676" s="335"/>
      <c r="D676" s="141"/>
      <c r="E676" s="226" t="s">
        <v>22</v>
      </c>
      <c r="F676" s="226" t="s">
        <v>23</v>
      </c>
      <c r="G676" s="88" t="s">
        <v>24</v>
      </c>
      <c r="H676" s="89" t="s">
        <v>25</v>
      </c>
      <c r="I676" s="226" t="s">
        <v>26</v>
      </c>
    </row>
    <row r="677" spans="2:12" ht="15" customHeight="1" thickBot="1" x14ac:dyDescent="0.3">
      <c r="B677" s="166"/>
      <c r="C677" s="151" t="s">
        <v>206</v>
      </c>
      <c r="D677" s="84" t="s">
        <v>501</v>
      </c>
      <c r="E677" s="75" t="s">
        <v>22</v>
      </c>
      <c r="F677" s="140">
        <v>1</v>
      </c>
      <c r="G677" s="77">
        <v>1</v>
      </c>
      <c r="H677" s="139">
        <v>1701.34</v>
      </c>
      <c r="I677" s="140">
        <f>F677*G677*H677</f>
        <v>1701.34</v>
      </c>
      <c r="J677" s="104"/>
    </row>
    <row r="678" spans="2:12" ht="15" customHeight="1" thickBot="1" x14ac:dyDescent="0.3">
      <c r="B678" s="335" t="s">
        <v>28</v>
      </c>
      <c r="C678" s="335"/>
      <c r="D678" s="141"/>
      <c r="E678" s="226" t="s">
        <v>22</v>
      </c>
      <c r="F678" s="226" t="s">
        <v>23</v>
      </c>
      <c r="G678" s="88" t="s">
        <v>24</v>
      </c>
      <c r="H678" s="89" t="s">
        <v>25</v>
      </c>
      <c r="I678" s="226" t="s">
        <v>26</v>
      </c>
    </row>
    <row r="679" spans="2:12" ht="15" customHeight="1" x14ac:dyDescent="0.25">
      <c r="B679" s="166">
        <v>88277</v>
      </c>
      <c r="C679" s="151" t="s">
        <v>1</v>
      </c>
      <c r="D679" s="84" t="s">
        <v>502</v>
      </c>
      <c r="E679" s="75" t="s">
        <v>2</v>
      </c>
      <c r="F679" s="140">
        <v>1</v>
      </c>
      <c r="G679" s="77">
        <v>1.339</v>
      </c>
      <c r="H679" s="139">
        <v>14.49</v>
      </c>
      <c r="I679" s="140">
        <f>F679*G679*H679</f>
        <v>19.40211</v>
      </c>
    </row>
    <row r="680" spans="2:12" ht="15" customHeight="1" thickBot="1" x14ac:dyDescent="0.3">
      <c r="B680" s="166">
        <v>88316</v>
      </c>
      <c r="C680" s="151" t="s">
        <v>1</v>
      </c>
      <c r="D680" s="84" t="s">
        <v>43</v>
      </c>
      <c r="E680" s="75" t="s">
        <v>2</v>
      </c>
      <c r="F680" s="140">
        <v>1</v>
      </c>
      <c r="G680" s="77">
        <v>1.339</v>
      </c>
      <c r="H680" s="139">
        <v>15.16</v>
      </c>
      <c r="I680" s="140">
        <f>F680*G680*H680</f>
        <v>20.299240000000001</v>
      </c>
    </row>
    <row r="681" spans="2:12" ht="15" customHeight="1" thickBot="1" x14ac:dyDescent="0.3">
      <c r="B681" s="328" t="s">
        <v>29</v>
      </c>
      <c r="C681" s="328"/>
      <c r="D681" s="328"/>
      <c r="E681" s="328"/>
      <c r="F681" s="328"/>
      <c r="G681" s="328"/>
      <c r="H681" s="328"/>
      <c r="I681" s="296">
        <f>SUM(I677:I680)</f>
        <v>1741.04135</v>
      </c>
    </row>
    <row r="682" spans="2:12" s="90" customFormat="1" ht="10.199999999999999" x14ac:dyDescent="0.25">
      <c r="B682" s="166"/>
      <c r="C682" s="223" t="s">
        <v>30</v>
      </c>
      <c r="D682" s="90" t="s">
        <v>491</v>
      </c>
      <c r="E682" s="75"/>
      <c r="F682" s="75"/>
      <c r="G682" s="85"/>
      <c r="H682" s="139"/>
      <c r="I682" s="293"/>
      <c r="L682" s="85"/>
    </row>
    <row r="683" spans="2:12" s="90" customFormat="1" ht="12" customHeight="1" x14ac:dyDescent="0.25">
      <c r="B683" s="166"/>
      <c r="C683" s="223"/>
      <c r="E683" s="75"/>
      <c r="F683" s="75"/>
      <c r="G683" s="85"/>
      <c r="H683" s="139"/>
      <c r="I683" s="295"/>
      <c r="L683" s="85"/>
    </row>
    <row r="684" spans="2:12" s="90" customFormat="1" ht="12" customHeight="1" thickBot="1" x14ac:dyDescent="0.3">
      <c r="B684" s="166"/>
      <c r="C684" s="223"/>
      <c r="E684" s="75"/>
      <c r="F684" s="75"/>
      <c r="G684" s="85"/>
      <c r="H684" s="139"/>
      <c r="I684" s="292"/>
      <c r="L684" s="85"/>
    </row>
    <row r="685" spans="2:12" ht="14.4" thickBot="1" x14ac:dyDescent="0.3">
      <c r="B685" s="330" t="s">
        <v>18</v>
      </c>
      <c r="C685" s="330"/>
      <c r="D685" s="331" t="s">
        <v>19</v>
      </c>
      <c r="E685" s="331"/>
      <c r="F685" s="331"/>
      <c r="G685" s="331"/>
      <c r="H685" s="331"/>
      <c r="I685" s="291" t="s">
        <v>20</v>
      </c>
    </row>
    <row r="686" spans="2:12" ht="15" customHeight="1" thickBot="1" x14ac:dyDescent="0.3">
      <c r="B686" s="336" t="s">
        <v>433</v>
      </c>
      <c r="C686" s="336"/>
      <c r="D686" s="332" t="s">
        <v>739</v>
      </c>
      <c r="E686" s="332"/>
      <c r="F686" s="332"/>
      <c r="G686" s="332"/>
      <c r="H686" s="332"/>
      <c r="I686" s="80" t="s">
        <v>472</v>
      </c>
    </row>
    <row r="687" spans="2:12" ht="15" customHeight="1" thickBot="1" x14ac:dyDescent="0.3">
      <c r="B687" s="335" t="s">
        <v>21</v>
      </c>
      <c r="C687" s="335"/>
      <c r="D687" s="141"/>
      <c r="E687" s="226" t="s">
        <v>22</v>
      </c>
      <c r="F687" s="226" t="s">
        <v>23</v>
      </c>
      <c r="G687" s="88" t="s">
        <v>24</v>
      </c>
      <c r="H687" s="89" t="s">
        <v>25</v>
      </c>
      <c r="I687" s="226" t="s">
        <v>26</v>
      </c>
    </row>
    <row r="688" spans="2:12" ht="15" customHeight="1" thickBot="1" x14ac:dyDescent="0.3">
      <c r="B688" s="166"/>
      <c r="C688" s="151" t="s">
        <v>206</v>
      </c>
      <c r="D688" s="84" t="s">
        <v>505</v>
      </c>
      <c r="E688" s="75" t="s">
        <v>22</v>
      </c>
      <c r="F688" s="140">
        <v>1</v>
      </c>
      <c r="G688" s="77">
        <v>1</v>
      </c>
      <c r="H688" s="139">
        <v>919.94</v>
      </c>
      <c r="I688" s="140">
        <f>F688*G688*H688</f>
        <v>919.94</v>
      </c>
      <c r="J688" s="104"/>
    </row>
    <row r="689" spans="2:12" ht="15" customHeight="1" thickBot="1" x14ac:dyDescent="0.3">
      <c r="B689" s="335" t="s">
        <v>28</v>
      </c>
      <c r="C689" s="335"/>
      <c r="D689" s="141"/>
      <c r="E689" s="226" t="s">
        <v>22</v>
      </c>
      <c r="F689" s="226" t="s">
        <v>23</v>
      </c>
      <c r="G689" s="88" t="s">
        <v>24</v>
      </c>
      <c r="H689" s="89" t="s">
        <v>25</v>
      </c>
      <c r="I689" s="226" t="s">
        <v>26</v>
      </c>
    </row>
    <row r="690" spans="2:12" ht="15" customHeight="1" x14ac:dyDescent="0.25">
      <c r="B690" s="166">
        <v>88277</v>
      </c>
      <c r="C690" s="151" t="s">
        <v>1</v>
      </c>
      <c r="D690" s="84" t="s">
        <v>502</v>
      </c>
      <c r="E690" s="75" t="s">
        <v>2</v>
      </c>
      <c r="F690" s="140">
        <v>1</v>
      </c>
      <c r="G690" s="77">
        <v>1.339</v>
      </c>
      <c r="H690" s="139">
        <v>14.49</v>
      </c>
      <c r="I690" s="140">
        <f>F690*G690*H690</f>
        <v>19.40211</v>
      </c>
    </row>
    <row r="691" spans="2:12" ht="15" customHeight="1" thickBot="1" x14ac:dyDescent="0.3">
      <c r="B691" s="166">
        <v>88316</v>
      </c>
      <c r="C691" s="151" t="s">
        <v>1</v>
      </c>
      <c r="D691" s="84" t="s">
        <v>43</v>
      </c>
      <c r="E691" s="75" t="s">
        <v>2</v>
      </c>
      <c r="F691" s="140">
        <v>1</v>
      </c>
      <c r="G691" s="77">
        <v>1.339</v>
      </c>
      <c r="H691" s="139">
        <v>15.16</v>
      </c>
      <c r="I691" s="140">
        <f>F691*G691*H691</f>
        <v>20.299240000000001</v>
      </c>
    </row>
    <row r="692" spans="2:12" ht="15" customHeight="1" thickBot="1" x14ac:dyDescent="0.3">
      <c r="B692" s="328" t="s">
        <v>29</v>
      </c>
      <c r="C692" s="328"/>
      <c r="D692" s="328"/>
      <c r="E692" s="328"/>
      <c r="F692" s="328"/>
      <c r="G692" s="328"/>
      <c r="H692" s="328"/>
      <c r="I692" s="296">
        <f>SUM(I688:I691)</f>
        <v>959.6413500000001</v>
      </c>
    </row>
    <row r="693" spans="2:12" s="90" customFormat="1" ht="12" customHeight="1" x14ac:dyDescent="0.25">
      <c r="B693" s="166"/>
      <c r="C693" s="223" t="s">
        <v>30</v>
      </c>
      <c r="D693" s="90" t="s">
        <v>491</v>
      </c>
      <c r="E693" s="75"/>
      <c r="F693" s="75"/>
      <c r="G693" s="85"/>
      <c r="H693" s="139"/>
      <c r="I693" s="293"/>
      <c r="L693" s="85"/>
    </row>
    <row r="694" spans="2:12" s="90" customFormat="1" ht="12" customHeight="1" x14ac:dyDescent="0.25">
      <c r="B694" s="166"/>
      <c r="C694" s="223"/>
      <c r="E694" s="75"/>
      <c r="F694" s="75"/>
      <c r="G694" s="85"/>
      <c r="H694" s="139"/>
      <c r="I694" s="295"/>
      <c r="L694" s="85"/>
    </row>
    <row r="695" spans="2:12" s="90" customFormat="1" ht="12" customHeight="1" thickBot="1" x14ac:dyDescent="0.3">
      <c r="B695" s="166"/>
      <c r="C695" s="223"/>
      <c r="E695" s="75"/>
      <c r="F695" s="75"/>
      <c r="G695" s="85"/>
      <c r="H695" s="139"/>
      <c r="I695" s="292"/>
      <c r="L695" s="85"/>
    </row>
    <row r="696" spans="2:12" ht="14.4" thickBot="1" x14ac:dyDescent="0.3">
      <c r="B696" s="330" t="s">
        <v>18</v>
      </c>
      <c r="C696" s="330"/>
      <c r="D696" s="331" t="s">
        <v>19</v>
      </c>
      <c r="E696" s="331"/>
      <c r="F696" s="331"/>
      <c r="G696" s="331"/>
      <c r="H696" s="331"/>
      <c r="I696" s="291" t="s">
        <v>20</v>
      </c>
    </row>
    <row r="697" spans="2:12" ht="15" customHeight="1" thickBot="1" x14ac:dyDescent="0.3">
      <c r="B697" s="336" t="s">
        <v>447</v>
      </c>
      <c r="C697" s="336"/>
      <c r="D697" s="332" t="s">
        <v>738</v>
      </c>
      <c r="E697" s="332"/>
      <c r="F697" s="332"/>
      <c r="G697" s="332"/>
      <c r="H697" s="332"/>
      <c r="I697" s="80" t="s">
        <v>472</v>
      </c>
    </row>
    <row r="698" spans="2:12" ht="15" customHeight="1" thickBot="1" x14ac:dyDescent="0.3">
      <c r="B698" s="335" t="s">
        <v>21</v>
      </c>
      <c r="C698" s="335"/>
      <c r="D698" s="141"/>
      <c r="E698" s="226" t="s">
        <v>22</v>
      </c>
      <c r="F698" s="226" t="s">
        <v>23</v>
      </c>
      <c r="G698" s="88" t="s">
        <v>24</v>
      </c>
      <c r="H698" s="89" t="s">
        <v>25</v>
      </c>
      <c r="I698" s="226" t="s">
        <v>26</v>
      </c>
    </row>
    <row r="699" spans="2:12" ht="15" customHeight="1" thickBot="1" x14ac:dyDescent="0.3">
      <c r="B699" s="166"/>
      <c r="C699" s="151" t="s">
        <v>206</v>
      </c>
      <c r="D699" s="84" t="s">
        <v>510</v>
      </c>
      <c r="E699" s="75" t="s">
        <v>22</v>
      </c>
      <c r="F699" s="140">
        <v>1</v>
      </c>
      <c r="G699" s="77">
        <v>1</v>
      </c>
      <c r="H699" s="139">
        <v>332.47</v>
      </c>
      <c r="I699" s="140">
        <f>F699*G699*H699</f>
        <v>332.47</v>
      </c>
    </row>
    <row r="700" spans="2:12" ht="15" customHeight="1" thickBot="1" x14ac:dyDescent="0.3">
      <c r="B700" s="335" t="s">
        <v>28</v>
      </c>
      <c r="C700" s="335"/>
      <c r="D700" s="141"/>
      <c r="E700" s="226" t="s">
        <v>22</v>
      </c>
      <c r="F700" s="226" t="s">
        <v>23</v>
      </c>
      <c r="G700" s="88" t="s">
        <v>24</v>
      </c>
      <c r="H700" s="89" t="s">
        <v>25</v>
      </c>
      <c r="I700" s="226" t="s">
        <v>26</v>
      </c>
    </row>
    <row r="701" spans="2:12" ht="15" customHeight="1" x14ac:dyDescent="0.25">
      <c r="B701" s="166">
        <v>88277</v>
      </c>
      <c r="C701" s="151" t="s">
        <v>1</v>
      </c>
      <c r="D701" s="84" t="s">
        <v>502</v>
      </c>
      <c r="E701" s="75" t="s">
        <v>2</v>
      </c>
      <c r="F701" s="140">
        <v>1</v>
      </c>
      <c r="G701" s="77">
        <v>1.339</v>
      </c>
      <c r="H701" s="139">
        <v>14.49</v>
      </c>
      <c r="I701" s="140">
        <f>F701*G701*H701</f>
        <v>19.40211</v>
      </c>
    </row>
    <row r="702" spans="2:12" ht="15" customHeight="1" thickBot="1" x14ac:dyDescent="0.3">
      <c r="B702" s="166">
        <v>88316</v>
      </c>
      <c r="C702" s="151" t="s">
        <v>1</v>
      </c>
      <c r="D702" s="84" t="s">
        <v>43</v>
      </c>
      <c r="E702" s="75" t="s">
        <v>2</v>
      </c>
      <c r="F702" s="140">
        <v>1</v>
      </c>
      <c r="G702" s="77">
        <v>1.339</v>
      </c>
      <c r="H702" s="139">
        <v>15.16</v>
      </c>
      <c r="I702" s="140">
        <f>F702*G702*H702</f>
        <v>20.299240000000001</v>
      </c>
    </row>
    <row r="703" spans="2:12" ht="15" customHeight="1" thickBot="1" x14ac:dyDescent="0.3">
      <c r="B703" s="328" t="s">
        <v>29</v>
      </c>
      <c r="C703" s="328"/>
      <c r="D703" s="328"/>
      <c r="E703" s="328"/>
      <c r="F703" s="328"/>
      <c r="G703" s="328"/>
      <c r="H703" s="328"/>
      <c r="I703" s="296">
        <f>SUM(I699:I702)</f>
        <v>372.17135000000002</v>
      </c>
    </row>
    <row r="704" spans="2:12" s="90" customFormat="1" ht="12" customHeight="1" x14ac:dyDescent="0.25">
      <c r="B704" s="166"/>
      <c r="C704" s="223" t="s">
        <v>30</v>
      </c>
      <c r="D704" s="90" t="s">
        <v>491</v>
      </c>
      <c r="E704" s="75"/>
      <c r="F704" s="75"/>
      <c r="G704" s="85"/>
      <c r="H704" s="139"/>
      <c r="I704" s="293"/>
      <c r="L704" s="85"/>
    </row>
    <row r="705" spans="2:12" s="90" customFormat="1" ht="12" customHeight="1" x14ac:dyDescent="0.25">
      <c r="B705" s="166"/>
      <c r="C705" s="223"/>
      <c r="E705" s="75"/>
      <c r="F705" s="75"/>
      <c r="G705" s="85"/>
      <c r="H705" s="139"/>
      <c r="I705" s="295"/>
      <c r="L705" s="85"/>
    </row>
    <row r="706" spans="2:12" s="90" customFormat="1" ht="12" customHeight="1" thickBot="1" x14ac:dyDescent="0.3">
      <c r="B706" s="166"/>
      <c r="C706" s="223"/>
      <c r="E706" s="75"/>
      <c r="F706" s="75"/>
      <c r="G706" s="85"/>
      <c r="H706" s="139"/>
      <c r="I706" s="292"/>
      <c r="L706" s="85"/>
    </row>
    <row r="707" spans="2:12" ht="14.4" thickBot="1" x14ac:dyDescent="0.3">
      <c r="B707" s="330" t="s">
        <v>18</v>
      </c>
      <c r="C707" s="330"/>
      <c r="D707" s="331" t="s">
        <v>19</v>
      </c>
      <c r="E707" s="331"/>
      <c r="F707" s="331"/>
      <c r="G707" s="331"/>
      <c r="H707" s="331"/>
      <c r="I707" s="291" t="s">
        <v>20</v>
      </c>
    </row>
    <row r="708" spans="2:12" ht="15" customHeight="1" thickBot="1" x14ac:dyDescent="0.3">
      <c r="B708" s="336" t="s">
        <v>464</v>
      </c>
      <c r="C708" s="336"/>
      <c r="D708" s="332" t="s">
        <v>737</v>
      </c>
      <c r="E708" s="332"/>
      <c r="F708" s="332"/>
      <c r="G708" s="332"/>
      <c r="H708" s="332"/>
      <c r="I708" s="80" t="s">
        <v>472</v>
      </c>
    </row>
    <row r="709" spans="2:12" ht="15" customHeight="1" thickBot="1" x14ac:dyDescent="0.3">
      <c r="B709" s="335" t="s">
        <v>21</v>
      </c>
      <c r="C709" s="335"/>
      <c r="D709" s="141"/>
      <c r="E709" s="226" t="s">
        <v>22</v>
      </c>
      <c r="F709" s="226" t="s">
        <v>23</v>
      </c>
      <c r="G709" s="88" t="s">
        <v>24</v>
      </c>
      <c r="H709" s="89" t="s">
        <v>25</v>
      </c>
      <c r="I709" s="226" t="s">
        <v>26</v>
      </c>
    </row>
    <row r="710" spans="2:12" ht="15" customHeight="1" thickBot="1" x14ac:dyDescent="0.3">
      <c r="B710" s="166"/>
      <c r="C710" s="151" t="s">
        <v>206</v>
      </c>
      <c r="D710" s="84" t="s">
        <v>515</v>
      </c>
      <c r="E710" s="75" t="s">
        <v>22</v>
      </c>
      <c r="F710" s="140">
        <v>1</v>
      </c>
      <c r="G710" s="77">
        <v>1</v>
      </c>
      <c r="H710" s="139">
        <v>304.35000000000002</v>
      </c>
      <c r="I710" s="140">
        <f>F710*G710*H710</f>
        <v>304.35000000000002</v>
      </c>
    </row>
    <row r="711" spans="2:12" ht="15" customHeight="1" thickBot="1" x14ac:dyDescent="0.3">
      <c r="B711" s="335" t="s">
        <v>28</v>
      </c>
      <c r="C711" s="335"/>
      <c r="D711" s="141"/>
      <c r="E711" s="226" t="s">
        <v>22</v>
      </c>
      <c r="F711" s="226" t="s">
        <v>23</v>
      </c>
      <c r="G711" s="88" t="s">
        <v>24</v>
      </c>
      <c r="H711" s="89" t="s">
        <v>25</v>
      </c>
      <c r="I711" s="226" t="s">
        <v>26</v>
      </c>
    </row>
    <row r="712" spans="2:12" ht="15" customHeight="1" x14ac:dyDescent="0.25">
      <c r="B712" s="166">
        <v>88277</v>
      </c>
      <c r="C712" s="151" t="s">
        <v>1</v>
      </c>
      <c r="D712" s="84" t="s">
        <v>502</v>
      </c>
      <c r="E712" s="75" t="s">
        <v>2</v>
      </c>
      <c r="F712" s="140">
        <v>1</v>
      </c>
      <c r="G712" s="77">
        <v>1.339</v>
      </c>
      <c r="H712" s="139">
        <v>14.49</v>
      </c>
      <c r="I712" s="140">
        <f>F712*G712*H712</f>
        <v>19.40211</v>
      </c>
    </row>
    <row r="713" spans="2:12" ht="15" customHeight="1" thickBot="1" x14ac:dyDescent="0.3">
      <c r="B713" s="166">
        <v>88316</v>
      </c>
      <c r="C713" s="151" t="s">
        <v>1</v>
      </c>
      <c r="D713" s="84" t="s">
        <v>43</v>
      </c>
      <c r="E713" s="75" t="s">
        <v>2</v>
      </c>
      <c r="F713" s="140">
        <v>1</v>
      </c>
      <c r="G713" s="77">
        <v>1.339</v>
      </c>
      <c r="H713" s="139">
        <v>15.16</v>
      </c>
      <c r="I713" s="140">
        <f>F713*G713*H713</f>
        <v>20.299240000000001</v>
      </c>
    </row>
    <row r="714" spans="2:12" ht="15" customHeight="1" thickBot="1" x14ac:dyDescent="0.3">
      <c r="B714" s="328" t="s">
        <v>29</v>
      </c>
      <c r="C714" s="328"/>
      <c r="D714" s="328"/>
      <c r="E714" s="328"/>
      <c r="F714" s="328"/>
      <c r="G714" s="328"/>
      <c r="H714" s="328"/>
      <c r="I714" s="296">
        <f>SUM(I710:I713)</f>
        <v>344.05135000000001</v>
      </c>
    </row>
    <row r="715" spans="2:12" s="90" customFormat="1" ht="12" customHeight="1" x14ac:dyDescent="0.25">
      <c r="B715" s="166"/>
      <c r="C715" s="223" t="s">
        <v>30</v>
      </c>
      <c r="D715" s="90" t="s">
        <v>491</v>
      </c>
      <c r="E715" s="75"/>
      <c r="F715" s="75"/>
      <c r="G715" s="85"/>
      <c r="H715" s="139"/>
      <c r="I715" s="293"/>
      <c r="L715" s="85"/>
    </row>
    <row r="716" spans="2:12" s="90" customFormat="1" ht="12" customHeight="1" x14ac:dyDescent="0.25">
      <c r="B716" s="166"/>
      <c r="C716" s="223"/>
      <c r="E716" s="75"/>
      <c r="F716" s="75"/>
      <c r="G716" s="85"/>
      <c r="H716" s="139"/>
      <c r="I716" s="295"/>
      <c r="L716" s="85"/>
    </row>
    <row r="717" spans="2:12" s="90" customFormat="1" ht="12" customHeight="1" thickBot="1" x14ac:dyDescent="0.3">
      <c r="B717" s="166"/>
      <c r="C717" s="223"/>
      <c r="E717" s="75"/>
      <c r="F717" s="75"/>
      <c r="G717" s="85"/>
      <c r="H717" s="139"/>
      <c r="I717" s="292"/>
      <c r="L717" s="85"/>
    </row>
    <row r="718" spans="2:12" ht="14.4" thickBot="1" x14ac:dyDescent="0.3">
      <c r="B718" s="330" t="s">
        <v>18</v>
      </c>
      <c r="C718" s="330"/>
      <c r="D718" s="331" t="s">
        <v>19</v>
      </c>
      <c r="E718" s="331"/>
      <c r="F718" s="331"/>
      <c r="G718" s="331"/>
      <c r="H718" s="331"/>
      <c r="I718" s="291" t="s">
        <v>20</v>
      </c>
    </row>
    <row r="719" spans="2:12" ht="15" customHeight="1" thickBot="1" x14ac:dyDescent="0.3">
      <c r="B719" s="336" t="s">
        <v>467</v>
      </c>
      <c r="C719" s="336"/>
      <c r="D719" s="332" t="s">
        <v>736</v>
      </c>
      <c r="E719" s="332"/>
      <c r="F719" s="332"/>
      <c r="G719" s="332"/>
      <c r="H719" s="332"/>
      <c r="I719" s="80" t="s">
        <v>472</v>
      </c>
    </row>
    <row r="720" spans="2:12" ht="15" customHeight="1" thickBot="1" x14ac:dyDescent="0.3">
      <c r="B720" s="335" t="s">
        <v>21</v>
      </c>
      <c r="C720" s="335"/>
      <c r="D720" s="141"/>
      <c r="E720" s="226" t="s">
        <v>22</v>
      </c>
      <c r="F720" s="226" t="s">
        <v>23</v>
      </c>
      <c r="G720" s="88" t="s">
        <v>24</v>
      </c>
      <c r="H720" s="89" t="s">
        <v>25</v>
      </c>
      <c r="I720" s="226" t="s">
        <v>26</v>
      </c>
    </row>
    <row r="721" spans="2:12" ht="15" customHeight="1" thickBot="1" x14ac:dyDescent="0.3">
      <c r="B721" s="166"/>
      <c r="C721" s="151" t="s">
        <v>206</v>
      </c>
      <c r="D721" s="84" t="s">
        <v>516</v>
      </c>
      <c r="E721" s="75" t="s">
        <v>22</v>
      </c>
      <c r="F721" s="140">
        <v>1</v>
      </c>
      <c r="G721" s="77">
        <v>1</v>
      </c>
      <c r="H721" s="139">
        <v>231.22</v>
      </c>
      <c r="I721" s="140">
        <f>F721*G721*H721</f>
        <v>231.22</v>
      </c>
      <c r="J721" s="104"/>
    </row>
    <row r="722" spans="2:12" ht="15" customHeight="1" thickBot="1" x14ac:dyDescent="0.3">
      <c r="B722" s="335" t="s">
        <v>28</v>
      </c>
      <c r="C722" s="335"/>
      <c r="D722" s="141"/>
      <c r="E722" s="226" t="s">
        <v>22</v>
      </c>
      <c r="F722" s="226" t="s">
        <v>23</v>
      </c>
      <c r="G722" s="88" t="s">
        <v>24</v>
      </c>
      <c r="H722" s="89" t="s">
        <v>25</v>
      </c>
      <c r="I722" s="226" t="s">
        <v>26</v>
      </c>
    </row>
    <row r="723" spans="2:12" ht="15" customHeight="1" x14ac:dyDescent="0.25">
      <c r="B723" s="166">
        <v>88277</v>
      </c>
      <c r="C723" s="151" t="s">
        <v>1</v>
      </c>
      <c r="D723" s="84" t="s">
        <v>502</v>
      </c>
      <c r="E723" s="75" t="s">
        <v>2</v>
      </c>
      <c r="F723" s="140">
        <v>1</v>
      </c>
      <c r="G723" s="77">
        <v>1.339</v>
      </c>
      <c r="H723" s="139">
        <v>14.49</v>
      </c>
      <c r="I723" s="140">
        <f>F723*G723*H723</f>
        <v>19.40211</v>
      </c>
    </row>
    <row r="724" spans="2:12" ht="15" customHeight="1" thickBot="1" x14ac:dyDescent="0.3">
      <c r="B724" s="166">
        <v>88316</v>
      </c>
      <c r="C724" s="151" t="s">
        <v>1</v>
      </c>
      <c r="D724" s="84" t="s">
        <v>43</v>
      </c>
      <c r="E724" s="75" t="s">
        <v>2</v>
      </c>
      <c r="F724" s="140">
        <v>1</v>
      </c>
      <c r="G724" s="77">
        <v>1.339</v>
      </c>
      <c r="H724" s="139">
        <v>15.16</v>
      </c>
      <c r="I724" s="140">
        <f>F724*G724*H724</f>
        <v>20.299240000000001</v>
      </c>
    </row>
    <row r="725" spans="2:12" ht="15" customHeight="1" thickBot="1" x14ac:dyDescent="0.3">
      <c r="B725" s="328" t="s">
        <v>29</v>
      </c>
      <c r="C725" s="328"/>
      <c r="D725" s="328"/>
      <c r="E725" s="328"/>
      <c r="F725" s="328"/>
      <c r="G725" s="328"/>
      <c r="H725" s="328"/>
      <c r="I725" s="296">
        <f>SUM(I721:I724)</f>
        <v>270.92135000000002</v>
      </c>
    </row>
    <row r="726" spans="2:12" s="90" customFormat="1" ht="12" customHeight="1" x14ac:dyDescent="0.25">
      <c r="B726" s="166"/>
      <c r="C726" s="223" t="s">
        <v>30</v>
      </c>
      <c r="D726" s="90" t="s">
        <v>491</v>
      </c>
      <c r="E726" s="75"/>
      <c r="F726" s="75"/>
      <c r="G726" s="85"/>
      <c r="H726" s="139"/>
      <c r="I726" s="293"/>
      <c r="L726" s="85"/>
    </row>
    <row r="727" spans="2:12" s="90" customFormat="1" ht="12" customHeight="1" x14ac:dyDescent="0.25">
      <c r="B727" s="166"/>
      <c r="C727" s="223"/>
      <c r="E727" s="75"/>
      <c r="F727" s="75"/>
      <c r="G727" s="85"/>
      <c r="H727" s="139"/>
      <c r="I727" s="295"/>
      <c r="L727" s="85"/>
    </row>
    <row r="728" spans="2:12" s="90" customFormat="1" ht="12" customHeight="1" thickBot="1" x14ac:dyDescent="0.3">
      <c r="B728" s="166"/>
      <c r="C728" s="223"/>
      <c r="E728" s="75"/>
      <c r="F728" s="75"/>
      <c r="G728" s="85"/>
      <c r="H728" s="139"/>
      <c r="I728" s="292"/>
      <c r="L728" s="85"/>
    </row>
    <row r="729" spans="2:12" ht="14.4" thickBot="1" x14ac:dyDescent="0.3">
      <c r="B729" s="330" t="s">
        <v>18</v>
      </c>
      <c r="C729" s="330"/>
      <c r="D729" s="331" t="s">
        <v>19</v>
      </c>
      <c r="E729" s="331"/>
      <c r="F729" s="331"/>
      <c r="G729" s="331"/>
      <c r="H729" s="331"/>
      <c r="I729" s="291" t="s">
        <v>20</v>
      </c>
    </row>
    <row r="730" spans="2:12" ht="14.4" thickBot="1" x14ac:dyDescent="0.3">
      <c r="B730" s="336" t="s">
        <v>496</v>
      </c>
      <c r="C730" s="336"/>
      <c r="D730" s="332" t="s">
        <v>735</v>
      </c>
      <c r="E730" s="332"/>
      <c r="F730" s="332"/>
      <c r="G730" s="332"/>
      <c r="H730" s="332"/>
      <c r="I730" s="80" t="s">
        <v>472</v>
      </c>
    </row>
    <row r="731" spans="2:12" ht="15" customHeight="1" thickBot="1" x14ac:dyDescent="0.3">
      <c r="B731" s="335" t="s">
        <v>21</v>
      </c>
      <c r="C731" s="335"/>
      <c r="D731" s="141"/>
      <c r="E731" s="226" t="s">
        <v>22</v>
      </c>
      <c r="F731" s="226" t="s">
        <v>23</v>
      </c>
      <c r="G731" s="88" t="s">
        <v>24</v>
      </c>
      <c r="H731" s="89" t="s">
        <v>25</v>
      </c>
      <c r="I731" s="226" t="s">
        <v>26</v>
      </c>
    </row>
    <row r="732" spans="2:12" ht="15" customHeight="1" thickBot="1" x14ac:dyDescent="0.3">
      <c r="B732" s="166"/>
      <c r="C732" s="151" t="s">
        <v>206</v>
      </c>
      <c r="D732" s="84" t="s">
        <v>517</v>
      </c>
      <c r="E732" s="75" t="s">
        <v>22</v>
      </c>
      <c r="F732" s="140">
        <v>1</v>
      </c>
      <c r="G732" s="77">
        <v>1</v>
      </c>
      <c r="H732" s="139">
        <v>395.99</v>
      </c>
      <c r="I732" s="140">
        <f>F732*G732*H732</f>
        <v>395.99</v>
      </c>
    </row>
    <row r="733" spans="2:12" ht="15" customHeight="1" thickBot="1" x14ac:dyDescent="0.3">
      <c r="B733" s="335" t="s">
        <v>28</v>
      </c>
      <c r="C733" s="335"/>
      <c r="D733" s="141"/>
      <c r="E733" s="226" t="s">
        <v>22</v>
      </c>
      <c r="F733" s="226" t="s">
        <v>23</v>
      </c>
      <c r="G733" s="88" t="s">
        <v>24</v>
      </c>
      <c r="H733" s="89" t="s">
        <v>25</v>
      </c>
      <c r="I733" s="226" t="s">
        <v>26</v>
      </c>
    </row>
    <row r="734" spans="2:12" ht="15" customHeight="1" thickBot="1" x14ac:dyDescent="0.3">
      <c r="B734" s="166">
        <v>100308</v>
      </c>
      <c r="C734" s="151" t="s">
        <v>1</v>
      </c>
      <c r="D734" s="84" t="s">
        <v>457</v>
      </c>
      <c r="E734" s="75" t="s">
        <v>2</v>
      </c>
      <c r="F734" s="140">
        <v>1</v>
      </c>
      <c r="G734" s="77">
        <v>0.2</v>
      </c>
      <c r="H734" s="139">
        <v>20.87</v>
      </c>
      <c r="I734" s="140">
        <f>F734*G734*H734</f>
        <v>4.1740000000000004</v>
      </c>
    </row>
    <row r="735" spans="2:12" ht="15" customHeight="1" thickBot="1" x14ac:dyDescent="0.3">
      <c r="B735" s="328" t="s">
        <v>29</v>
      </c>
      <c r="C735" s="328"/>
      <c r="D735" s="328"/>
      <c r="E735" s="328"/>
      <c r="F735" s="328"/>
      <c r="G735" s="328"/>
      <c r="H735" s="328"/>
      <c r="I735" s="296">
        <f>SUM(I732:I734)</f>
        <v>400.16399999999999</v>
      </c>
    </row>
    <row r="736" spans="2:12" s="90" customFormat="1" ht="12" customHeight="1" x14ac:dyDescent="0.25">
      <c r="B736" s="166"/>
      <c r="C736" s="223" t="s">
        <v>30</v>
      </c>
      <c r="D736" s="90" t="s">
        <v>545</v>
      </c>
      <c r="E736" s="75"/>
      <c r="F736" s="75"/>
      <c r="G736" s="85"/>
      <c r="H736" s="139"/>
      <c r="I736" s="293"/>
      <c r="L736" s="85"/>
    </row>
    <row r="737" spans="2:12" s="90" customFormat="1" ht="12" customHeight="1" x14ac:dyDescent="0.25">
      <c r="B737" s="166"/>
      <c r="C737" s="223"/>
      <c r="E737" s="75"/>
      <c r="F737" s="75"/>
      <c r="G737" s="85"/>
      <c r="H737" s="139"/>
      <c r="I737" s="295"/>
      <c r="L737" s="85"/>
    </row>
    <row r="738" spans="2:12" s="90" customFormat="1" ht="12" customHeight="1" thickBot="1" x14ac:dyDescent="0.3">
      <c r="B738" s="166"/>
      <c r="C738" s="223"/>
      <c r="E738" s="75"/>
      <c r="F738" s="75"/>
      <c r="G738" s="85"/>
      <c r="H738" s="139"/>
      <c r="I738" s="292"/>
      <c r="L738" s="85"/>
    </row>
    <row r="739" spans="2:12" ht="14.4" thickBot="1" x14ac:dyDescent="0.3">
      <c r="B739" s="330" t="s">
        <v>18</v>
      </c>
      <c r="C739" s="330"/>
      <c r="D739" s="331" t="s">
        <v>19</v>
      </c>
      <c r="E739" s="331"/>
      <c r="F739" s="331"/>
      <c r="G739" s="331"/>
      <c r="H739" s="331"/>
      <c r="I739" s="291" t="s">
        <v>20</v>
      </c>
    </row>
    <row r="740" spans="2:12" ht="14.4" thickBot="1" x14ac:dyDescent="0.3">
      <c r="B740" s="339" t="s">
        <v>500</v>
      </c>
      <c r="C740" s="339"/>
      <c r="D740" s="338" t="s">
        <v>728</v>
      </c>
      <c r="E740" s="338"/>
      <c r="F740" s="338"/>
      <c r="G740" s="338"/>
      <c r="H740" s="338"/>
      <c r="I740" s="80" t="s">
        <v>472</v>
      </c>
    </row>
    <row r="741" spans="2:12" ht="15" customHeight="1" thickBot="1" x14ac:dyDescent="0.3">
      <c r="B741" s="335" t="s">
        <v>21</v>
      </c>
      <c r="C741" s="335"/>
      <c r="D741" s="141"/>
      <c r="E741" s="226" t="s">
        <v>22</v>
      </c>
      <c r="F741" s="226" t="s">
        <v>23</v>
      </c>
      <c r="G741" s="88" t="s">
        <v>24</v>
      </c>
      <c r="H741" s="89" t="s">
        <v>25</v>
      </c>
      <c r="I741" s="226" t="s">
        <v>26</v>
      </c>
    </row>
    <row r="742" spans="2:12" ht="15" customHeight="1" thickBot="1" x14ac:dyDescent="0.3">
      <c r="B742" s="166"/>
      <c r="C742" s="151" t="s">
        <v>206</v>
      </c>
      <c r="D742" s="84" t="s">
        <v>521</v>
      </c>
      <c r="E742" s="75" t="s">
        <v>22</v>
      </c>
      <c r="F742" s="140">
        <v>1</v>
      </c>
      <c r="G742" s="77">
        <v>1</v>
      </c>
      <c r="H742" s="139">
        <v>114.57</v>
      </c>
      <c r="I742" s="140">
        <f>F742*G742*H742</f>
        <v>114.57</v>
      </c>
      <c r="J742" s="104"/>
    </row>
    <row r="743" spans="2:12" ht="15" customHeight="1" thickBot="1" x14ac:dyDescent="0.3">
      <c r="B743" s="335" t="s">
        <v>28</v>
      </c>
      <c r="C743" s="335"/>
      <c r="D743" s="141"/>
      <c r="E743" s="226" t="s">
        <v>22</v>
      </c>
      <c r="F743" s="226" t="s">
        <v>23</v>
      </c>
      <c r="G743" s="88" t="s">
        <v>24</v>
      </c>
      <c r="H743" s="89" t="s">
        <v>25</v>
      </c>
      <c r="I743" s="226" t="s">
        <v>26</v>
      </c>
    </row>
    <row r="744" spans="2:12" ht="15" customHeight="1" thickBot="1" x14ac:dyDescent="0.3">
      <c r="B744" s="166">
        <v>100308</v>
      </c>
      <c r="C744" s="151" t="s">
        <v>1</v>
      </c>
      <c r="D744" s="84" t="s">
        <v>457</v>
      </c>
      <c r="E744" s="75" t="s">
        <v>2</v>
      </c>
      <c r="F744" s="140">
        <v>1</v>
      </c>
      <c r="G744" s="77">
        <v>0.2</v>
      </c>
      <c r="H744" s="139">
        <v>20.87</v>
      </c>
      <c r="I744" s="140">
        <f>F744*G744*H744</f>
        <v>4.1740000000000004</v>
      </c>
    </row>
    <row r="745" spans="2:12" ht="15" customHeight="1" thickBot="1" x14ac:dyDescent="0.3">
      <c r="B745" s="328" t="s">
        <v>29</v>
      </c>
      <c r="C745" s="328"/>
      <c r="D745" s="328"/>
      <c r="E745" s="328"/>
      <c r="F745" s="328"/>
      <c r="G745" s="328"/>
      <c r="H745" s="328"/>
      <c r="I745" s="296">
        <f>SUM(I742:I744)</f>
        <v>118.744</v>
      </c>
    </row>
    <row r="746" spans="2:12" s="90" customFormat="1" ht="12" customHeight="1" x14ac:dyDescent="0.25">
      <c r="B746" s="166"/>
      <c r="C746" s="223" t="s">
        <v>30</v>
      </c>
      <c r="D746" s="90" t="s">
        <v>545</v>
      </c>
      <c r="E746" s="75"/>
      <c r="F746" s="75"/>
      <c r="G746" s="85"/>
      <c r="H746" s="139"/>
      <c r="I746" s="293"/>
      <c r="L746" s="85"/>
    </row>
    <row r="747" spans="2:12" s="90" customFormat="1" ht="12" customHeight="1" x14ac:dyDescent="0.25">
      <c r="B747" s="166"/>
      <c r="C747" s="223"/>
      <c r="E747" s="75"/>
      <c r="F747" s="75"/>
      <c r="G747" s="85"/>
      <c r="H747" s="139"/>
      <c r="I747" s="295"/>
      <c r="L747" s="85"/>
    </row>
    <row r="748" spans="2:12" s="90" customFormat="1" ht="12" customHeight="1" thickBot="1" x14ac:dyDescent="0.3">
      <c r="B748" s="166"/>
      <c r="C748" s="223"/>
      <c r="E748" s="75"/>
      <c r="F748" s="75"/>
      <c r="G748" s="85"/>
      <c r="H748" s="139"/>
      <c r="I748" s="292"/>
      <c r="L748" s="85"/>
    </row>
    <row r="749" spans="2:12" ht="14.4" thickBot="1" x14ac:dyDescent="0.3">
      <c r="B749" s="330" t="s">
        <v>18</v>
      </c>
      <c r="C749" s="330"/>
      <c r="D749" s="331" t="s">
        <v>19</v>
      </c>
      <c r="E749" s="331"/>
      <c r="F749" s="331"/>
      <c r="G749" s="331"/>
      <c r="H749" s="331"/>
      <c r="I749" s="291" t="s">
        <v>20</v>
      </c>
    </row>
    <row r="750" spans="2:12" ht="15" customHeight="1" thickBot="1" x14ac:dyDescent="0.3">
      <c r="B750" s="336" t="s">
        <v>504</v>
      </c>
      <c r="C750" s="336"/>
      <c r="D750" s="332" t="s">
        <v>725</v>
      </c>
      <c r="E750" s="332"/>
      <c r="F750" s="332"/>
      <c r="G750" s="332"/>
      <c r="H750" s="332"/>
      <c r="I750" s="80" t="s">
        <v>472</v>
      </c>
      <c r="J750" s="104"/>
    </row>
    <row r="751" spans="2:12" ht="15" customHeight="1" thickBot="1" x14ac:dyDescent="0.3">
      <c r="B751" s="335" t="s">
        <v>21</v>
      </c>
      <c r="C751" s="335"/>
      <c r="D751" s="141"/>
      <c r="E751" s="226" t="s">
        <v>22</v>
      </c>
      <c r="F751" s="226" t="s">
        <v>23</v>
      </c>
      <c r="G751" s="88" t="s">
        <v>24</v>
      </c>
      <c r="H751" s="89" t="s">
        <v>25</v>
      </c>
      <c r="I751" s="226" t="s">
        <v>26</v>
      </c>
    </row>
    <row r="752" spans="2:12" ht="15" customHeight="1" thickBot="1" x14ac:dyDescent="0.3">
      <c r="B752" s="166"/>
      <c r="C752" s="151" t="s">
        <v>206</v>
      </c>
      <c r="D752" s="84" t="s">
        <v>726</v>
      </c>
      <c r="E752" s="75" t="s">
        <v>22</v>
      </c>
      <c r="F752" s="140">
        <v>1</v>
      </c>
      <c r="G752" s="77">
        <v>1</v>
      </c>
      <c r="H752" s="139">
        <v>1200</v>
      </c>
      <c r="I752" s="140">
        <f>F752*G752*H752</f>
        <v>1200</v>
      </c>
    </row>
    <row r="753" spans="2:12" ht="15" customHeight="1" thickBot="1" x14ac:dyDescent="0.3">
      <c r="B753" s="335" t="s">
        <v>28</v>
      </c>
      <c r="C753" s="335"/>
      <c r="D753" s="141"/>
      <c r="E753" s="226" t="s">
        <v>22</v>
      </c>
      <c r="F753" s="226" t="s">
        <v>23</v>
      </c>
      <c r="G753" s="88" t="s">
        <v>24</v>
      </c>
      <c r="H753" s="89" t="s">
        <v>25</v>
      </c>
      <c r="I753" s="226" t="s">
        <v>26</v>
      </c>
    </row>
    <row r="754" spans="2:12" ht="15" customHeight="1" x14ac:dyDescent="0.25">
      <c r="B754" s="166">
        <v>88277</v>
      </c>
      <c r="C754" s="151" t="s">
        <v>1</v>
      </c>
      <c r="D754" s="84" t="s">
        <v>502</v>
      </c>
      <c r="E754" s="75" t="s">
        <v>2</v>
      </c>
      <c r="F754" s="140">
        <v>1</v>
      </c>
      <c r="G754" s="77">
        <v>1.339</v>
      </c>
      <c r="H754" s="139">
        <v>14.49</v>
      </c>
      <c r="I754" s="140">
        <f>F754*G754*H754</f>
        <v>19.40211</v>
      </c>
    </row>
    <row r="755" spans="2:12" ht="15" customHeight="1" thickBot="1" x14ac:dyDescent="0.3">
      <c r="B755" s="166">
        <v>88316</v>
      </c>
      <c r="C755" s="151" t="s">
        <v>1</v>
      </c>
      <c r="D755" s="84" t="s">
        <v>43</v>
      </c>
      <c r="E755" s="75" t="s">
        <v>2</v>
      </c>
      <c r="F755" s="140">
        <v>1</v>
      </c>
      <c r="G755" s="77">
        <v>1.339</v>
      </c>
      <c r="H755" s="139">
        <v>15.16</v>
      </c>
      <c r="I755" s="140">
        <f>F755*G755*H755</f>
        <v>20.299240000000001</v>
      </c>
    </row>
    <row r="756" spans="2:12" ht="15" customHeight="1" thickBot="1" x14ac:dyDescent="0.3">
      <c r="B756" s="328" t="s">
        <v>29</v>
      </c>
      <c r="C756" s="328"/>
      <c r="D756" s="328"/>
      <c r="E756" s="328"/>
      <c r="F756" s="328"/>
      <c r="G756" s="328"/>
      <c r="H756" s="328"/>
      <c r="I756" s="296">
        <f>SUM(I752:I755)</f>
        <v>1239.70135</v>
      </c>
    </row>
    <row r="757" spans="2:12" s="90" customFormat="1" ht="12" customHeight="1" x14ac:dyDescent="0.25">
      <c r="B757" s="166"/>
      <c r="C757" s="223" t="s">
        <v>30</v>
      </c>
      <c r="D757" s="90" t="s">
        <v>491</v>
      </c>
      <c r="E757" s="75"/>
      <c r="F757" s="75"/>
      <c r="G757" s="85"/>
      <c r="H757" s="139"/>
      <c r="I757" s="293"/>
      <c r="L757" s="85"/>
    </row>
    <row r="758" spans="2:12" s="90" customFormat="1" ht="12" customHeight="1" x14ac:dyDescent="0.25">
      <c r="B758" s="166"/>
      <c r="C758" s="223"/>
      <c r="E758" s="75"/>
      <c r="F758" s="75"/>
      <c r="G758" s="85"/>
      <c r="H758" s="139"/>
      <c r="I758" s="295"/>
      <c r="L758" s="85"/>
    </row>
    <row r="759" spans="2:12" s="90" customFormat="1" ht="12" customHeight="1" thickBot="1" x14ac:dyDescent="0.3">
      <c r="B759" s="166"/>
      <c r="C759" s="223"/>
      <c r="E759" s="75"/>
      <c r="F759" s="75"/>
      <c r="G759" s="85"/>
      <c r="H759" s="139"/>
      <c r="I759" s="292"/>
      <c r="L759" s="85"/>
    </row>
    <row r="760" spans="2:12" ht="14.4" thickBot="1" x14ac:dyDescent="0.3">
      <c r="B760" s="330" t="s">
        <v>18</v>
      </c>
      <c r="C760" s="330"/>
      <c r="D760" s="331" t="s">
        <v>19</v>
      </c>
      <c r="E760" s="331"/>
      <c r="F760" s="331"/>
      <c r="G760" s="331"/>
      <c r="H760" s="331"/>
      <c r="I760" s="291" t="s">
        <v>20</v>
      </c>
    </row>
    <row r="761" spans="2:12" ht="14.4" thickBot="1" x14ac:dyDescent="0.3">
      <c r="B761" s="336" t="s">
        <v>506</v>
      </c>
      <c r="C761" s="336"/>
      <c r="D761" s="332" t="s">
        <v>734</v>
      </c>
      <c r="E761" s="332"/>
      <c r="F761" s="332"/>
      <c r="G761" s="332"/>
      <c r="H761" s="332"/>
      <c r="I761" s="80" t="s">
        <v>472</v>
      </c>
    </row>
    <row r="762" spans="2:12" ht="15" customHeight="1" thickBot="1" x14ac:dyDescent="0.3">
      <c r="B762" s="335" t="s">
        <v>21</v>
      </c>
      <c r="C762" s="335"/>
      <c r="D762" s="141"/>
      <c r="E762" s="226" t="s">
        <v>22</v>
      </c>
      <c r="F762" s="226" t="s">
        <v>23</v>
      </c>
      <c r="G762" s="88" t="s">
        <v>24</v>
      </c>
      <c r="H762" s="89" t="s">
        <v>25</v>
      </c>
      <c r="I762" s="226" t="s">
        <v>26</v>
      </c>
    </row>
    <row r="763" spans="2:12" ht="15" customHeight="1" x14ac:dyDescent="0.25">
      <c r="B763" s="166"/>
      <c r="C763" s="151" t="s">
        <v>206</v>
      </c>
      <c r="D763" s="84" t="s">
        <v>548</v>
      </c>
      <c r="E763" s="75" t="s">
        <v>22</v>
      </c>
      <c r="F763" s="140">
        <v>1</v>
      </c>
      <c r="G763" s="77">
        <v>1</v>
      </c>
      <c r="H763" s="139">
        <v>460.55</v>
      </c>
      <c r="I763" s="140">
        <f t="shared" ref="I763:I770" si="36">F763*G763*H763</f>
        <v>460.55</v>
      </c>
      <c r="J763" s="104"/>
    </row>
    <row r="764" spans="2:12" ht="15" customHeight="1" x14ac:dyDescent="0.25">
      <c r="B764" s="166"/>
      <c r="C764" s="151" t="s">
        <v>206</v>
      </c>
      <c r="D764" s="84" t="s">
        <v>539</v>
      </c>
      <c r="E764" s="75" t="s">
        <v>22</v>
      </c>
      <c r="F764" s="140">
        <v>1</v>
      </c>
      <c r="G764" s="77">
        <v>3</v>
      </c>
      <c r="H764" s="139">
        <v>186.02</v>
      </c>
      <c r="I764" s="140">
        <f t="shared" si="36"/>
        <v>558.06000000000006</v>
      </c>
      <c r="J764" s="104"/>
    </row>
    <row r="765" spans="2:12" ht="15" customHeight="1" x14ac:dyDescent="0.25">
      <c r="B765" s="166"/>
      <c r="C765" s="151" t="s">
        <v>206</v>
      </c>
      <c r="D765" s="84" t="s">
        <v>540</v>
      </c>
      <c r="E765" s="75" t="s">
        <v>22</v>
      </c>
      <c r="F765" s="140">
        <v>1</v>
      </c>
      <c r="G765" s="77">
        <v>3</v>
      </c>
      <c r="H765" s="139">
        <v>220.64</v>
      </c>
      <c r="I765" s="140">
        <f t="shared" si="36"/>
        <v>661.92</v>
      </c>
      <c r="J765" s="104"/>
    </row>
    <row r="766" spans="2:12" ht="15" customHeight="1" x14ac:dyDescent="0.25">
      <c r="B766" s="166"/>
      <c r="C766" s="151" t="s">
        <v>206</v>
      </c>
      <c r="D766" s="84" t="s">
        <v>541</v>
      </c>
      <c r="E766" s="75" t="s">
        <v>22</v>
      </c>
      <c r="F766" s="140">
        <v>1</v>
      </c>
      <c r="G766" s="77">
        <v>4</v>
      </c>
      <c r="H766" s="139">
        <v>52.77</v>
      </c>
      <c r="I766" s="140">
        <f t="shared" si="36"/>
        <v>211.08</v>
      </c>
      <c r="J766" s="104"/>
    </row>
    <row r="767" spans="2:12" ht="15" customHeight="1" x14ac:dyDescent="0.25">
      <c r="B767" s="166"/>
      <c r="C767" s="151" t="s">
        <v>206</v>
      </c>
      <c r="D767" s="84" t="s">
        <v>546</v>
      </c>
      <c r="E767" s="75" t="s">
        <v>8</v>
      </c>
      <c r="F767" s="140">
        <v>1</v>
      </c>
      <c r="G767" s="77">
        <v>5</v>
      </c>
      <c r="H767" s="139">
        <v>228.87</v>
      </c>
      <c r="I767" s="140">
        <f t="shared" si="36"/>
        <v>1144.3499999999999</v>
      </c>
      <c r="J767" s="104"/>
    </row>
    <row r="768" spans="2:12" ht="15" customHeight="1" x14ac:dyDescent="0.25">
      <c r="B768" s="166">
        <v>34709</v>
      </c>
      <c r="C768" s="151" t="s">
        <v>1</v>
      </c>
      <c r="D768" s="84" t="s">
        <v>543</v>
      </c>
      <c r="E768" s="75" t="s">
        <v>22</v>
      </c>
      <c r="F768" s="140">
        <v>1</v>
      </c>
      <c r="G768" s="77">
        <v>4</v>
      </c>
      <c r="H768" s="139">
        <v>67.73</v>
      </c>
      <c r="I768" s="140">
        <f t="shared" si="36"/>
        <v>270.92</v>
      </c>
    </row>
    <row r="769" spans="2:12" ht="15" customHeight="1" x14ac:dyDescent="0.25">
      <c r="B769" s="166">
        <v>34616</v>
      </c>
      <c r="C769" s="151" t="s">
        <v>1</v>
      </c>
      <c r="D769" s="84" t="s">
        <v>542</v>
      </c>
      <c r="E769" s="75" t="s">
        <v>22</v>
      </c>
      <c r="F769" s="140">
        <v>1</v>
      </c>
      <c r="G769" s="77">
        <v>1</v>
      </c>
      <c r="H769" s="139">
        <v>55.28</v>
      </c>
      <c r="I769" s="140">
        <f t="shared" si="36"/>
        <v>55.28</v>
      </c>
    </row>
    <row r="770" spans="2:12" ht="15" customHeight="1" thickBot="1" x14ac:dyDescent="0.3">
      <c r="B770" s="166"/>
      <c r="C770" s="151" t="s">
        <v>941</v>
      </c>
      <c r="D770" s="84" t="s">
        <v>1232</v>
      </c>
      <c r="E770" s="75" t="s">
        <v>22</v>
      </c>
      <c r="F770" s="140">
        <v>1</v>
      </c>
      <c r="G770" s="77">
        <v>0.1</v>
      </c>
      <c r="H770" s="139">
        <f>SUM(I763:I769)</f>
        <v>3362.1600000000003</v>
      </c>
      <c r="I770" s="140">
        <f t="shared" si="36"/>
        <v>336.21600000000007</v>
      </c>
      <c r="K770" s="91"/>
    </row>
    <row r="771" spans="2:12" ht="15" customHeight="1" thickBot="1" x14ac:dyDescent="0.3">
      <c r="B771" s="335" t="s">
        <v>28</v>
      </c>
      <c r="C771" s="335"/>
      <c r="D771" s="141"/>
      <c r="E771" s="226" t="s">
        <v>22</v>
      </c>
      <c r="F771" s="226" t="s">
        <v>23</v>
      </c>
      <c r="G771" s="88" t="s">
        <v>24</v>
      </c>
      <c r="H771" s="89" t="s">
        <v>25</v>
      </c>
      <c r="I771" s="226" t="s">
        <v>26</v>
      </c>
    </row>
    <row r="772" spans="2:12" ht="15" customHeight="1" x14ac:dyDescent="0.25">
      <c r="B772" s="166">
        <v>88247</v>
      </c>
      <c r="C772" s="151" t="s">
        <v>1</v>
      </c>
      <c r="D772" s="84" t="s">
        <v>95</v>
      </c>
      <c r="E772" s="75" t="s">
        <v>2</v>
      </c>
      <c r="F772" s="140">
        <v>1</v>
      </c>
      <c r="G772" s="77">
        <v>4</v>
      </c>
      <c r="H772" s="139">
        <v>15.19</v>
      </c>
      <c r="I772" s="140">
        <f t="shared" ref="I772:I773" si="37">F772*G772*H772</f>
        <v>60.76</v>
      </c>
    </row>
    <row r="773" spans="2:12" ht="15" customHeight="1" thickBot="1" x14ac:dyDescent="0.3">
      <c r="B773" s="166">
        <v>88264</v>
      </c>
      <c r="C773" s="151" t="s">
        <v>1</v>
      </c>
      <c r="D773" s="84" t="s">
        <v>3</v>
      </c>
      <c r="E773" s="75" t="s">
        <v>2</v>
      </c>
      <c r="F773" s="140">
        <v>1</v>
      </c>
      <c r="G773" s="77">
        <v>8</v>
      </c>
      <c r="H773" s="139">
        <v>19.53</v>
      </c>
      <c r="I773" s="140">
        <f t="shared" si="37"/>
        <v>156.24</v>
      </c>
    </row>
    <row r="774" spans="2:12" ht="15" customHeight="1" thickBot="1" x14ac:dyDescent="0.3">
      <c r="B774" s="328" t="s">
        <v>29</v>
      </c>
      <c r="C774" s="328"/>
      <c r="D774" s="328"/>
      <c r="E774" s="328"/>
      <c r="F774" s="328"/>
      <c r="G774" s="328"/>
      <c r="H774" s="328"/>
      <c r="I774" s="296">
        <f>SUM(I763:I773)</f>
        <v>3915.3760000000002</v>
      </c>
    </row>
    <row r="775" spans="2:12" s="90" customFormat="1" ht="12" customHeight="1" x14ac:dyDescent="0.25">
      <c r="B775" s="166"/>
      <c r="C775" s="223" t="s">
        <v>30</v>
      </c>
      <c r="D775" s="90" t="s">
        <v>544</v>
      </c>
      <c r="E775" s="75"/>
      <c r="F775" s="75"/>
      <c r="G775" s="85"/>
      <c r="H775" s="139"/>
      <c r="I775" s="293"/>
      <c r="L775" s="85"/>
    </row>
    <row r="776" spans="2:12" s="90" customFormat="1" ht="12" customHeight="1" x14ac:dyDescent="0.25">
      <c r="B776" s="166"/>
      <c r="C776" s="223"/>
      <c r="E776" s="75"/>
      <c r="F776" s="75"/>
      <c r="G776" s="85"/>
      <c r="H776" s="139"/>
      <c r="I776" s="295"/>
      <c r="L776" s="85"/>
    </row>
    <row r="777" spans="2:12" s="90" customFormat="1" ht="12" customHeight="1" thickBot="1" x14ac:dyDescent="0.3">
      <c r="B777" s="166"/>
      <c r="C777" s="223"/>
      <c r="E777" s="75"/>
      <c r="F777" s="75"/>
      <c r="G777" s="85"/>
      <c r="H777" s="139"/>
      <c r="I777" s="292"/>
      <c r="L777" s="85"/>
    </row>
    <row r="778" spans="2:12" ht="14.4" thickBot="1" x14ac:dyDescent="0.3">
      <c r="B778" s="330" t="s">
        <v>18</v>
      </c>
      <c r="C778" s="330"/>
      <c r="D778" s="331" t="s">
        <v>19</v>
      </c>
      <c r="E778" s="331"/>
      <c r="F778" s="331"/>
      <c r="G778" s="331"/>
      <c r="H778" s="331"/>
      <c r="I778" s="291" t="s">
        <v>20</v>
      </c>
    </row>
    <row r="779" spans="2:12" ht="14.4" thickBot="1" x14ac:dyDescent="0.3">
      <c r="B779" s="336" t="s">
        <v>508</v>
      </c>
      <c r="C779" s="336"/>
      <c r="D779" s="332" t="s">
        <v>733</v>
      </c>
      <c r="E779" s="332"/>
      <c r="F779" s="332"/>
      <c r="G779" s="332"/>
      <c r="H779" s="332"/>
      <c r="I779" s="80" t="s">
        <v>472</v>
      </c>
    </row>
    <row r="780" spans="2:12" ht="15" customHeight="1" thickBot="1" x14ac:dyDescent="0.3">
      <c r="B780" s="335" t="s">
        <v>27</v>
      </c>
      <c r="C780" s="335"/>
      <c r="D780" s="141"/>
      <c r="E780" s="226" t="s">
        <v>22</v>
      </c>
      <c r="F780" s="226" t="s">
        <v>23</v>
      </c>
      <c r="G780" s="88" t="s">
        <v>24</v>
      </c>
      <c r="H780" s="89" t="s">
        <v>25</v>
      </c>
      <c r="I780" s="226" t="s">
        <v>26</v>
      </c>
    </row>
    <row r="781" spans="2:12" ht="25.5" customHeight="1" x14ac:dyDescent="0.25">
      <c r="B781" s="166" t="s">
        <v>620</v>
      </c>
      <c r="C781" s="151" t="s">
        <v>1</v>
      </c>
      <c r="D781" s="84" t="s">
        <v>621</v>
      </c>
      <c r="E781" s="75" t="s">
        <v>6</v>
      </c>
      <c r="F781" s="140">
        <v>1</v>
      </c>
      <c r="G781" s="77">
        <v>0.44444444444444448</v>
      </c>
      <c r="H781" s="139">
        <v>224.8</v>
      </c>
      <c r="I781" s="140">
        <f t="shared" ref="I781:I782" si="38">F781*G781*H781</f>
        <v>99.911111111111126</v>
      </c>
    </row>
    <row r="782" spans="2:12" ht="27" customHeight="1" thickBot="1" x14ac:dyDescent="0.3">
      <c r="B782" s="166">
        <v>93403</v>
      </c>
      <c r="C782" s="151" t="s">
        <v>1</v>
      </c>
      <c r="D782" s="84" t="s">
        <v>622</v>
      </c>
      <c r="E782" s="75" t="s">
        <v>283</v>
      </c>
      <c r="F782" s="140">
        <v>1</v>
      </c>
      <c r="G782" s="77">
        <v>0.22222222222222221</v>
      </c>
      <c r="H782" s="139">
        <v>39.869999999999997</v>
      </c>
      <c r="I782" s="140">
        <f t="shared" si="38"/>
        <v>8.86</v>
      </c>
    </row>
    <row r="783" spans="2:12" ht="15" customHeight="1" thickBot="1" x14ac:dyDescent="0.3">
      <c r="B783" s="335" t="s">
        <v>28</v>
      </c>
      <c r="C783" s="335"/>
      <c r="D783" s="141"/>
      <c r="E783" s="226" t="s">
        <v>22</v>
      </c>
      <c r="F783" s="226" t="s">
        <v>23</v>
      </c>
      <c r="G783" s="88" t="s">
        <v>24</v>
      </c>
      <c r="H783" s="89" t="s">
        <v>25</v>
      </c>
      <c r="I783" s="226" t="s">
        <v>26</v>
      </c>
    </row>
    <row r="784" spans="2:12" ht="15" customHeight="1" x14ac:dyDescent="0.25">
      <c r="B784" s="166">
        <v>88279</v>
      </c>
      <c r="C784" s="151" t="s">
        <v>1</v>
      </c>
      <c r="D784" s="84" t="s">
        <v>590</v>
      </c>
      <c r="E784" s="75" t="s">
        <v>2</v>
      </c>
      <c r="F784" s="140">
        <v>1</v>
      </c>
      <c r="G784" s="77">
        <v>3</v>
      </c>
      <c r="H784" s="139">
        <v>20.74</v>
      </c>
      <c r="I784" s="140">
        <f t="shared" ref="I784:I785" si="39">F784*G784*H784</f>
        <v>62.22</v>
      </c>
    </row>
    <row r="785" spans="2:12" ht="15" customHeight="1" thickBot="1" x14ac:dyDescent="0.3">
      <c r="B785" s="166">
        <v>88243</v>
      </c>
      <c r="C785" s="151" t="s">
        <v>1</v>
      </c>
      <c r="D785" s="84" t="s">
        <v>591</v>
      </c>
      <c r="E785" s="75" t="s">
        <v>2</v>
      </c>
      <c r="F785" s="140">
        <v>1</v>
      </c>
      <c r="G785" s="77">
        <v>3</v>
      </c>
      <c r="H785" s="139">
        <v>15.93</v>
      </c>
      <c r="I785" s="140">
        <f t="shared" si="39"/>
        <v>47.79</v>
      </c>
    </row>
    <row r="786" spans="2:12" ht="15" customHeight="1" thickBot="1" x14ac:dyDescent="0.3">
      <c r="B786" s="328" t="s">
        <v>29</v>
      </c>
      <c r="C786" s="328"/>
      <c r="D786" s="328"/>
      <c r="E786" s="328"/>
      <c r="F786" s="328"/>
      <c r="G786" s="328"/>
      <c r="H786" s="328"/>
      <c r="I786" s="296">
        <f>SUM(I781:I785)</f>
        <v>218.78111111111113</v>
      </c>
    </row>
    <row r="787" spans="2:12" s="90" customFormat="1" ht="12" customHeight="1" x14ac:dyDescent="0.25">
      <c r="B787" s="166"/>
      <c r="C787" s="223" t="s">
        <v>30</v>
      </c>
      <c r="D787" s="90" t="s">
        <v>473</v>
      </c>
      <c r="E787" s="75"/>
      <c r="F787" s="75"/>
      <c r="G787" s="85"/>
      <c r="H787" s="139"/>
      <c r="I787" s="293"/>
      <c r="L787" s="85"/>
    </row>
    <row r="788" spans="2:12" s="90" customFormat="1" ht="12" customHeight="1" x14ac:dyDescent="0.25">
      <c r="B788" s="166"/>
      <c r="C788" s="223"/>
      <c r="E788" s="75"/>
      <c r="F788" s="75"/>
      <c r="G788" s="85"/>
      <c r="H788" s="139"/>
      <c r="I788" s="295"/>
      <c r="L788" s="85"/>
    </row>
    <row r="789" spans="2:12" s="90" customFormat="1" ht="12" customHeight="1" thickBot="1" x14ac:dyDescent="0.3">
      <c r="B789" s="166"/>
      <c r="C789" s="223"/>
      <c r="E789" s="75"/>
      <c r="F789" s="75"/>
      <c r="G789" s="85"/>
      <c r="H789" s="139"/>
      <c r="I789" s="292"/>
      <c r="L789" s="85"/>
    </row>
    <row r="790" spans="2:12" ht="14.4" thickBot="1" x14ac:dyDescent="0.3">
      <c r="B790" s="330" t="s">
        <v>18</v>
      </c>
      <c r="C790" s="330"/>
      <c r="D790" s="331" t="s">
        <v>19</v>
      </c>
      <c r="E790" s="331"/>
      <c r="F790" s="331"/>
      <c r="G790" s="331"/>
      <c r="H790" s="331"/>
      <c r="I790" s="291" t="s">
        <v>20</v>
      </c>
    </row>
    <row r="791" spans="2:12" ht="14.4" thickBot="1" x14ac:dyDescent="0.3">
      <c r="B791" s="336" t="s">
        <v>513</v>
      </c>
      <c r="C791" s="336"/>
      <c r="D791" s="332" t="s">
        <v>732</v>
      </c>
      <c r="E791" s="332"/>
      <c r="F791" s="332"/>
      <c r="G791" s="332"/>
      <c r="H791" s="332"/>
      <c r="I791" s="80" t="s">
        <v>472</v>
      </c>
    </row>
    <row r="792" spans="2:12" ht="15" customHeight="1" thickBot="1" x14ac:dyDescent="0.3">
      <c r="B792" s="335" t="s">
        <v>27</v>
      </c>
      <c r="C792" s="335"/>
      <c r="D792" s="141"/>
      <c r="E792" s="226" t="s">
        <v>22</v>
      </c>
      <c r="F792" s="226" t="s">
        <v>23</v>
      </c>
      <c r="G792" s="88" t="s">
        <v>24</v>
      </c>
      <c r="H792" s="89" t="s">
        <v>25</v>
      </c>
      <c r="I792" s="226" t="s">
        <v>26</v>
      </c>
    </row>
    <row r="793" spans="2:12" ht="26.25" customHeight="1" x14ac:dyDescent="0.25">
      <c r="B793" s="166" t="s">
        <v>620</v>
      </c>
      <c r="C793" s="151" t="s">
        <v>1</v>
      </c>
      <c r="D793" s="84" t="s">
        <v>621</v>
      </c>
      <c r="E793" s="75" t="s">
        <v>6</v>
      </c>
      <c r="F793" s="140">
        <v>1</v>
      </c>
      <c r="G793" s="77">
        <v>0.33333333333333331</v>
      </c>
      <c r="H793" s="139">
        <v>224.8</v>
      </c>
      <c r="I793" s="140">
        <f t="shared" ref="I793:I794" si="40">F793*G793*H793</f>
        <v>74.933333333333337</v>
      </c>
    </row>
    <row r="794" spans="2:12" ht="26.25" customHeight="1" thickBot="1" x14ac:dyDescent="0.3">
      <c r="B794" s="166">
        <v>93403</v>
      </c>
      <c r="C794" s="151" t="s">
        <v>1</v>
      </c>
      <c r="D794" s="84" t="s">
        <v>622</v>
      </c>
      <c r="E794" s="75" t="s">
        <v>283</v>
      </c>
      <c r="F794" s="140">
        <v>1</v>
      </c>
      <c r="G794" s="77">
        <v>0.16666666666666666</v>
      </c>
      <c r="H794" s="139">
        <v>39.869999999999997</v>
      </c>
      <c r="I794" s="298">
        <f t="shared" si="40"/>
        <v>6.6449999999999996</v>
      </c>
    </row>
    <row r="795" spans="2:12" ht="15" customHeight="1" thickBot="1" x14ac:dyDescent="0.3">
      <c r="B795" s="335" t="s">
        <v>28</v>
      </c>
      <c r="C795" s="335"/>
      <c r="D795" s="141"/>
      <c r="E795" s="226" t="s">
        <v>22</v>
      </c>
      <c r="F795" s="226" t="s">
        <v>23</v>
      </c>
      <c r="G795" s="88" t="s">
        <v>24</v>
      </c>
      <c r="H795" s="89" t="s">
        <v>25</v>
      </c>
      <c r="I795" s="226" t="s">
        <v>26</v>
      </c>
    </row>
    <row r="796" spans="2:12" ht="15" customHeight="1" x14ac:dyDescent="0.25">
      <c r="B796" s="166">
        <v>88279</v>
      </c>
      <c r="C796" s="151" t="s">
        <v>1</v>
      </c>
      <c r="D796" s="84" t="s">
        <v>590</v>
      </c>
      <c r="E796" s="75" t="s">
        <v>2</v>
      </c>
      <c r="F796" s="140">
        <v>1</v>
      </c>
      <c r="G796" s="77">
        <v>3</v>
      </c>
      <c r="H796" s="139">
        <v>20.74</v>
      </c>
      <c r="I796" s="140">
        <f t="shared" ref="I796:I797" si="41">F796*G796*H796</f>
        <v>62.22</v>
      </c>
    </row>
    <row r="797" spans="2:12" ht="15" customHeight="1" thickBot="1" x14ac:dyDescent="0.3">
      <c r="B797" s="166">
        <v>88243</v>
      </c>
      <c r="C797" s="151" t="s">
        <v>1</v>
      </c>
      <c r="D797" s="84" t="s">
        <v>591</v>
      </c>
      <c r="E797" s="75" t="s">
        <v>2</v>
      </c>
      <c r="F797" s="140">
        <v>1</v>
      </c>
      <c r="G797" s="77">
        <v>3</v>
      </c>
      <c r="H797" s="139">
        <v>15.93</v>
      </c>
      <c r="I797" s="140">
        <f t="shared" si="41"/>
        <v>47.79</v>
      </c>
    </row>
    <row r="798" spans="2:12" ht="15" customHeight="1" thickBot="1" x14ac:dyDescent="0.3">
      <c r="B798" s="328" t="s">
        <v>29</v>
      </c>
      <c r="C798" s="328"/>
      <c r="D798" s="328"/>
      <c r="E798" s="328"/>
      <c r="F798" s="328"/>
      <c r="G798" s="328"/>
      <c r="H798" s="328"/>
      <c r="I798" s="296">
        <f>SUM(I793:I797)</f>
        <v>191.58833333333334</v>
      </c>
    </row>
    <row r="799" spans="2:12" s="90" customFormat="1" ht="12" customHeight="1" x14ac:dyDescent="0.25">
      <c r="B799" s="166"/>
      <c r="C799" s="223" t="s">
        <v>30</v>
      </c>
      <c r="D799" s="90" t="s">
        <v>473</v>
      </c>
      <c r="E799" s="75"/>
      <c r="F799" s="75"/>
      <c r="G799" s="85"/>
      <c r="H799" s="139"/>
      <c r="I799" s="293"/>
      <c r="L799" s="85"/>
    </row>
    <row r="800" spans="2:12" s="90" customFormat="1" ht="12" customHeight="1" x14ac:dyDescent="0.25">
      <c r="B800" s="166"/>
      <c r="C800" s="223"/>
      <c r="E800" s="75"/>
      <c r="F800" s="75"/>
      <c r="G800" s="85"/>
      <c r="H800" s="139"/>
      <c r="I800" s="295"/>
      <c r="L800" s="85"/>
    </row>
    <row r="801" spans="2:12" s="90" customFormat="1" ht="12" customHeight="1" thickBot="1" x14ac:dyDescent="0.3">
      <c r="B801" s="166"/>
      <c r="C801" s="223"/>
      <c r="E801" s="75"/>
      <c r="F801" s="75"/>
      <c r="G801" s="85"/>
      <c r="H801" s="139"/>
      <c r="I801" s="292"/>
      <c r="L801" s="85"/>
    </row>
    <row r="802" spans="2:12" ht="14.4" thickBot="1" x14ac:dyDescent="0.3">
      <c r="B802" s="330" t="s">
        <v>18</v>
      </c>
      <c r="C802" s="330"/>
      <c r="D802" s="331" t="s">
        <v>19</v>
      </c>
      <c r="E802" s="331"/>
      <c r="F802" s="331"/>
      <c r="G802" s="331"/>
      <c r="H802" s="331"/>
      <c r="I802" s="291" t="s">
        <v>20</v>
      </c>
    </row>
    <row r="803" spans="2:12" ht="14.4" thickBot="1" x14ac:dyDescent="0.3">
      <c r="B803" s="336" t="s">
        <v>518</v>
      </c>
      <c r="C803" s="336"/>
      <c r="D803" s="332" t="s">
        <v>731</v>
      </c>
      <c r="E803" s="332"/>
      <c r="F803" s="332"/>
      <c r="G803" s="332"/>
      <c r="H803" s="332"/>
      <c r="I803" s="80" t="s">
        <v>472</v>
      </c>
    </row>
    <row r="804" spans="2:12" ht="15" customHeight="1" thickBot="1" x14ac:dyDescent="0.3">
      <c r="B804" s="335" t="s">
        <v>27</v>
      </c>
      <c r="C804" s="335"/>
      <c r="D804" s="141"/>
      <c r="E804" s="226" t="s">
        <v>22</v>
      </c>
      <c r="F804" s="226" t="s">
        <v>23</v>
      </c>
      <c r="G804" s="88" t="s">
        <v>24</v>
      </c>
      <c r="H804" s="89" t="s">
        <v>25</v>
      </c>
      <c r="I804" s="226" t="s">
        <v>26</v>
      </c>
    </row>
    <row r="805" spans="2:12" ht="26.25" customHeight="1" x14ac:dyDescent="0.25">
      <c r="B805" s="166" t="s">
        <v>620</v>
      </c>
      <c r="C805" s="151" t="s">
        <v>1</v>
      </c>
      <c r="D805" s="84" t="s">
        <v>621</v>
      </c>
      <c r="E805" s="75" t="s">
        <v>6</v>
      </c>
      <c r="F805" s="140">
        <v>1</v>
      </c>
      <c r="G805" s="77">
        <v>0.1666</v>
      </c>
      <c r="H805" s="139">
        <v>224.8</v>
      </c>
      <c r="I805" s="140">
        <f t="shared" ref="I805:I806" si="42">F805*G805*H805</f>
        <v>37.451680000000003</v>
      </c>
    </row>
    <row r="806" spans="2:12" ht="26.25" customHeight="1" thickBot="1" x14ac:dyDescent="0.3">
      <c r="B806" s="166">
        <v>93403</v>
      </c>
      <c r="C806" s="151" t="s">
        <v>1</v>
      </c>
      <c r="D806" s="84" t="s">
        <v>622</v>
      </c>
      <c r="E806" s="75" t="s">
        <v>283</v>
      </c>
      <c r="F806" s="140">
        <v>1</v>
      </c>
      <c r="G806" s="77">
        <v>8.3299999999999999E-2</v>
      </c>
      <c r="H806" s="139">
        <v>39.869999999999997</v>
      </c>
      <c r="I806" s="298">
        <f t="shared" si="42"/>
        <v>3.3211709999999997</v>
      </c>
    </row>
    <row r="807" spans="2:12" ht="15" customHeight="1" thickBot="1" x14ac:dyDescent="0.3">
      <c r="B807" s="335" t="s">
        <v>28</v>
      </c>
      <c r="C807" s="335"/>
      <c r="D807" s="141"/>
      <c r="E807" s="226" t="s">
        <v>22</v>
      </c>
      <c r="F807" s="226" t="s">
        <v>23</v>
      </c>
      <c r="G807" s="88" t="s">
        <v>24</v>
      </c>
      <c r="H807" s="89" t="s">
        <v>25</v>
      </c>
      <c r="I807" s="226" t="s">
        <v>26</v>
      </c>
    </row>
    <row r="808" spans="2:12" ht="15" customHeight="1" x14ac:dyDescent="0.25">
      <c r="B808" s="166">
        <v>88279</v>
      </c>
      <c r="C808" s="151" t="s">
        <v>1</v>
      </c>
      <c r="D808" s="84" t="s">
        <v>590</v>
      </c>
      <c r="E808" s="75" t="s">
        <v>2</v>
      </c>
      <c r="F808" s="140">
        <v>1</v>
      </c>
      <c r="G808" s="77">
        <v>3</v>
      </c>
      <c r="H808" s="139">
        <v>20.74</v>
      </c>
      <c r="I808" s="140">
        <f t="shared" ref="I808:I809" si="43">F808*G808*H808</f>
        <v>62.22</v>
      </c>
    </row>
    <row r="809" spans="2:12" ht="15" customHeight="1" thickBot="1" x14ac:dyDescent="0.3">
      <c r="B809" s="166">
        <v>88243</v>
      </c>
      <c r="C809" s="151" t="s">
        <v>1</v>
      </c>
      <c r="D809" s="84" t="s">
        <v>591</v>
      </c>
      <c r="E809" s="75" t="s">
        <v>2</v>
      </c>
      <c r="F809" s="140">
        <v>1</v>
      </c>
      <c r="G809" s="77">
        <v>3</v>
      </c>
      <c r="H809" s="139">
        <v>15.93</v>
      </c>
      <c r="I809" s="140">
        <f t="shared" si="43"/>
        <v>47.79</v>
      </c>
    </row>
    <row r="810" spans="2:12" ht="15" customHeight="1" thickBot="1" x14ac:dyDescent="0.3">
      <c r="B810" s="328" t="s">
        <v>29</v>
      </c>
      <c r="C810" s="328"/>
      <c r="D810" s="328"/>
      <c r="E810" s="328"/>
      <c r="F810" s="328"/>
      <c r="G810" s="328"/>
      <c r="H810" s="328"/>
      <c r="I810" s="296">
        <f>SUM(I805:I809)</f>
        <v>150.78285099999999</v>
      </c>
    </row>
    <row r="811" spans="2:12" s="90" customFormat="1" ht="12" customHeight="1" x14ac:dyDescent="0.25">
      <c r="B811" s="166"/>
      <c r="C811" s="223" t="s">
        <v>30</v>
      </c>
      <c r="D811" s="90" t="s">
        <v>473</v>
      </c>
      <c r="E811" s="75"/>
      <c r="F811" s="75"/>
      <c r="G811" s="85"/>
      <c r="H811" s="139"/>
      <c r="I811" s="293"/>
      <c r="L811" s="85"/>
    </row>
    <row r="812" spans="2:12" s="90" customFormat="1" ht="12" customHeight="1" x14ac:dyDescent="0.25">
      <c r="B812" s="166"/>
      <c r="C812" s="223"/>
      <c r="E812" s="75"/>
      <c r="F812" s="75"/>
      <c r="G812" s="85"/>
      <c r="H812" s="139"/>
      <c r="I812" s="295"/>
      <c r="L812" s="85"/>
    </row>
    <row r="813" spans="2:12" s="90" customFormat="1" ht="12" customHeight="1" thickBot="1" x14ac:dyDescent="0.3">
      <c r="B813" s="166"/>
      <c r="C813" s="223"/>
      <c r="E813" s="75"/>
      <c r="F813" s="75"/>
      <c r="G813" s="85"/>
      <c r="H813" s="139"/>
      <c r="I813" s="292"/>
      <c r="L813" s="85"/>
    </row>
    <row r="814" spans="2:12" ht="14.4" thickBot="1" x14ac:dyDescent="0.3">
      <c r="B814" s="330" t="s">
        <v>18</v>
      </c>
      <c r="C814" s="330"/>
      <c r="D814" s="331" t="s">
        <v>19</v>
      </c>
      <c r="E814" s="331"/>
      <c r="F814" s="331"/>
      <c r="G814" s="331"/>
      <c r="H814" s="331"/>
      <c r="I814" s="291" t="s">
        <v>20</v>
      </c>
    </row>
    <row r="815" spans="2:12" ht="14.4" thickBot="1" x14ac:dyDescent="0.3">
      <c r="B815" s="336" t="s">
        <v>520</v>
      </c>
      <c r="C815" s="336"/>
      <c r="D815" s="332" t="s">
        <v>608</v>
      </c>
      <c r="E815" s="332"/>
      <c r="F815" s="332"/>
      <c r="G815" s="332"/>
      <c r="H815" s="332"/>
      <c r="I815" s="80" t="s">
        <v>472</v>
      </c>
    </row>
    <row r="816" spans="2:12" ht="15" customHeight="1" thickBot="1" x14ac:dyDescent="0.3">
      <c r="B816" s="335" t="s">
        <v>21</v>
      </c>
      <c r="C816" s="335"/>
      <c r="D816" s="141"/>
      <c r="E816" s="226" t="s">
        <v>22</v>
      </c>
      <c r="F816" s="226" t="s">
        <v>23</v>
      </c>
      <c r="G816" s="88" t="s">
        <v>24</v>
      </c>
      <c r="H816" s="89" t="s">
        <v>25</v>
      </c>
      <c r="I816" s="226" t="s">
        <v>26</v>
      </c>
    </row>
    <row r="817" spans="1:12" ht="23.25" customHeight="1" x14ac:dyDescent="0.25">
      <c r="B817" s="166">
        <v>11267</v>
      </c>
      <c r="C817" s="151" t="s">
        <v>1</v>
      </c>
      <c r="D817" s="84" t="s">
        <v>468</v>
      </c>
      <c r="E817" s="75" t="s">
        <v>22</v>
      </c>
      <c r="F817" s="140">
        <v>1</v>
      </c>
      <c r="G817" s="77">
        <v>8</v>
      </c>
      <c r="H817" s="139">
        <v>0.8</v>
      </c>
      <c r="I817" s="140">
        <f t="shared" ref="I817:I820" si="44">F817*G817*H817</f>
        <v>6.4</v>
      </c>
    </row>
    <row r="818" spans="1:12" ht="15" customHeight="1" x14ac:dyDescent="0.25">
      <c r="B818" s="166">
        <v>39328</v>
      </c>
      <c r="C818" s="151" t="s">
        <v>1</v>
      </c>
      <c r="D818" s="84" t="s">
        <v>830</v>
      </c>
      <c r="E818" s="75" t="s">
        <v>8</v>
      </c>
      <c r="F818" s="140">
        <v>1</v>
      </c>
      <c r="G818" s="77">
        <f>(0.7+0.65+0.2)+2</f>
        <v>3.55</v>
      </c>
      <c r="H818" s="139">
        <v>7.17</v>
      </c>
      <c r="I818" s="298">
        <f t="shared" si="44"/>
        <v>25.453499999999998</v>
      </c>
    </row>
    <row r="819" spans="1:12" ht="15" customHeight="1" x14ac:dyDescent="0.25">
      <c r="B819" s="166">
        <v>39996</v>
      </c>
      <c r="C819" s="151" t="s">
        <v>1</v>
      </c>
      <c r="D819" s="84" t="s">
        <v>604</v>
      </c>
      <c r="E819" s="75" t="s">
        <v>8</v>
      </c>
      <c r="F819" s="140">
        <v>1</v>
      </c>
      <c r="G819" s="77">
        <f>1.6*4</f>
        <v>6.4</v>
      </c>
      <c r="H819" s="139">
        <v>5.01</v>
      </c>
      <c r="I819" s="298">
        <f t="shared" si="44"/>
        <v>32.064</v>
      </c>
    </row>
    <row r="820" spans="1:12" ht="15" customHeight="1" thickBot="1" x14ac:dyDescent="0.3">
      <c r="B820" s="166">
        <v>39997</v>
      </c>
      <c r="C820" s="151" t="s">
        <v>1</v>
      </c>
      <c r="D820" s="84" t="s">
        <v>605</v>
      </c>
      <c r="E820" s="75" t="s">
        <v>22</v>
      </c>
      <c r="F820" s="140">
        <v>1</v>
      </c>
      <c r="G820" s="77">
        <v>8</v>
      </c>
      <c r="H820" s="139">
        <v>0.34</v>
      </c>
      <c r="I820" s="298">
        <f t="shared" si="44"/>
        <v>2.72</v>
      </c>
    </row>
    <row r="821" spans="1:12" ht="15" customHeight="1" thickBot="1" x14ac:dyDescent="0.3">
      <c r="B821" s="335" t="s">
        <v>28</v>
      </c>
      <c r="C821" s="335"/>
      <c r="D821" s="141"/>
      <c r="E821" s="226" t="s">
        <v>22</v>
      </c>
      <c r="F821" s="226" t="s">
        <v>23</v>
      </c>
      <c r="G821" s="88" t="s">
        <v>24</v>
      </c>
      <c r="H821" s="89" t="s">
        <v>25</v>
      </c>
      <c r="I821" s="226" t="s">
        <v>26</v>
      </c>
    </row>
    <row r="822" spans="1:12" ht="15" customHeight="1" x14ac:dyDescent="0.25">
      <c r="B822" s="166">
        <v>88248</v>
      </c>
      <c r="C822" s="151" t="s">
        <v>1</v>
      </c>
      <c r="D822" s="84" t="s">
        <v>252</v>
      </c>
      <c r="E822" s="75" t="s">
        <v>2</v>
      </c>
      <c r="F822" s="140">
        <v>1</v>
      </c>
      <c r="G822" s="77">
        <v>0.5</v>
      </c>
      <c r="H822" s="139">
        <v>15.54</v>
      </c>
      <c r="I822" s="298">
        <f t="shared" ref="I822:I823" si="45">F822*G822*H822</f>
        <v>7.77</v>
      </c>
    </row>
    <row r="823" spans="1:12" ht="15" customHeight="1" thickBot="1" x14ac:dyDescent="0.3">
      <c r="B823" s="166">
        <v>88267</v>
      </c>
      <c r="C823" s="151" t="s">
        <v>1</v>
      </c>
      <c r="D823" s="84" t="s">
        <v>606</v>
      </c>
      <c r="E823" s="75" t="s">
        <v>2</v>
      </c>
      <c r="F823" s="140">
        <v>1</v>
      </c>
      <c r="G823" s="77">
        <v>0.5</v>
      </c>
      <c r="H823" s="139">
        <v>18.72</v>
      </c>
      <c r="I823" s="298">
        <f t="shared" si="45"/>
        <v>9.36</v>
      </c>
    </row>
    <row r="824" spans="1:12" ht="15" customHeight="1" thickBot="1" x14ac:dyDescent="0.3">
      <c r="B824" s="328" t="s">
        <v>29</v>
      </c>
      <c r="C824" s="328"/>
      <c r="D824" s="328"/>
      <c r="E824" s="328"/>
      <c r="F824" s="328"/>
      <c r="G824" s="328"/>
      <c r="H824" s="328"/>
      <c r="I824" s="296">
        <f>SUM(I817:I823)</f>
        <v>83.767499999999998</v>
      </c>
    </row>
    <row r="825" spans="1:12" s="90" customFormat="1" ht="12" customHeight="1" x14ac:dyDescent="0.25">
      <c r="B825" s="166"/>
      <c r="C825" s="223" t="s">
        <v>30</v>
      </c>
      <c r="D825" s="90" t="s">
        <v>603</v>
      </c>
      <c r="E825" s="75"/>
      <c r="F825" s="75"/>
      <c r="G825" s="85"/>
      <c r="H825" s="139"/>
      <c r="I825" s="293"/>
      <c r="L825" s="85"/>
    </row>
    <row r="826" spans="1:12" s="90" customFormat="1" ht="12" customHeight="1" x14ac:dyDescent="0.25">
      <c r="B826" s="166"/>
      <c r="C826" s="223"/>
      <c r="E826" s="75"/>
      <c r="F826" s="75"/>
      <c r="G826" s="85"/>
      <c r="H826" s="139"/>
      <c r="I826" s="295"/>
      <c r="L826" s="85"/>
    </row>
    <row r="827" spans="1:12" s="90" customFormat="1" ht="12" customHeight="1" thickBot="1" x14ac:dyDescent="0.3">
      <c r="B827" s="166"/>
      <c r="C827" s="223"/>
      <c r="E827" s="75"/>
      <c r="F827" s="75"/>
      <c r="G827" s="85"/>
      <c r="H827" s="139"/>
      <c r="I827" s="292"/>
      <c r="L827" s="85"/>
    </row>
    <row r="828" spans="1:12" ht="14.4" thickBot="1" x14ac:dyDescent="0.3">
      <c r="B828" s="330" t="s">
        <v>18</v>
      </c>
      <c r="C828" s="330"/>
      <c r="D828" s="331" t="s">
        <v>19</v>
      </c>
      <c r="E828" s="331"/>
      <c r="F828" s="331"/>
      <c r="G828" s="331"/>
      <c r="H828" s="331"/>
      <c r="I828" s="291" t="s">
        <v>20</v>
      </c>
    </row>
    <row r="829" spans="1:12" ht="14.4" thickBot="1" x14ac:dyDescent="0.3">
      <c r="B829" s="336" t="s">
        <v>538</v>
      </c>
      <c r="C829" s="336"/>
      <c r="D829" s="332" t="s">
        <v>609</v>
      </c>
      <c r="E829" s="332"/>
      <c r="F829" s="332"/>
      <c r="G829" s="332"/>
      <c r="H829" s="332"/>
      <c r="I829" s="80" t="s">
        <v>472</v>
      </c>
    </row>
    <row r="830" spans="1:12" ht="15" customHeight="1" thickBot="1" x14ac:dyDescent="0.3">
      <c r="B830" s="335" t="s">
        <v>21</v>
      </c>
      <c r="C830" s="335"/>
      <c r="D830" s="141"/>
      <c r="E830" s="226" t="s">
        <v>22</v>
      </c>
      <c r="F830" s="226" t="s">
        <v>23</v>
      </c>
      <c r="G830" s="88" t="s">
        <v>24</v>
      </c>
      <c r="H830" s="89" t="s">
        <v>25</v>
      </c>
      <c r="I830" s="226" t="s">
        <v>26</v>
      </c>
    </row>
    <row r="831" spans="1:12" ht="15" customHeight="1" x14ac:dyDescent="0.25">
      <c r="A831" s="166"/>
      <c r="B831" s="166">
        <v>40839</v>
      </c>
      <c r="C831" s="151" t="s">
        <v>1</v>
      </c>
      <c r="D831" s="84" t="s">
        <v>610</v>
      </c>
      <c r="E831" s="75" t="s">
        <v>611</v>
      </c>
      <c r="F831" s="140">
        <v>2</v>
      </c>
      <c r="G831" s="77">
        <f>1/100</f>
        <v>0.01</v>
      </c>
      <c r="H831" s="139">
        <v>129.19999999999999</v>
      </c>
      <c r="I831" s="140">
        <f t="shared" ref="I831:I838" si="46">F831*G831*H831</f>
        <v>2.5839999999999996</v>
      </c>
    </row>
    <row r="832" spans="1:12" ht="15" customHeight="1" x14ac:dyDescent="0.25">
      <c r="A832" s="166"/>
      <c r="B832" s="166">
        <v>4332</v>
      </c>
      <c r="C832" s="151" t="s">
        <v>1</v>
      </c>
      <c r="D832" s="84" t="s">
        <v>615</v>
      </c>
      <c r="E832" s="75" t="s">
        <v>22</v>
      </c>
      <c r="F832" s="140">
        <v>1</v>
      </c>
      <c r="G832" s="77">
        <v>4</v>
      </c>
      <c r="H832" s="139">
        <v>1.24</v>
      </c>
      <c r="I832" s="140">
        <f t="shared" si="46"/>
        <v>4.96</v>
      </c>
    </row>
    <row r="833" spans="1:12" ht="15" customHeight="1" x14ac:dyDescent="0.25">
      <c r="A833" s="166"/>
      <c r="B833" s="166">
        <v>39207</v>
      </c>
      <c r="C833" s="151" t="s">
        <v>1</v>
      </c>
      <c r="D833" s="84" t="s">
        <v>614</v>
      </c>
      <c r="E833" s="75" t="s">
        <v>22</v>
      </c>
      <c r="F833" s="140">
        <v>1</v>
      </c>
      <c r="G833" s="77">
        <v>6</v>
      </c>
      <c r="H833" s="139">
        <v>0.73</v>
      </c>
      <c r="I833" s="140">
        <f t="shared" si="46"/>
        <v>4.38</v>
      </c>
    </row>
    <row r="834" spans="1:12" ht="15" customHeight="1" x14ac:dyDescent="0.25">
      <c r="A834" s="166"/>
      <c r="B834" s="166">
        <v>4341</v>
      </c>
      <c r="C834" s="151" t="s">
        <v>1</v>
      </c>
      <c r="D834" s="84" t="s">
        <v>612</v>
      </c>
      <c r="E834" s="75" t="s">
        <v>22</v>
      </c>
      <c r="F834" s="140">
        <v>1</v>
      </c>
      <c r="G834" s="77">
        <v>6</v>
      </c>
      <c r="H834" s="139">
        <v>1.1499999999999999</v>
      </c>
      <c r="I834" s="140">
        <f t="shared" si="46"/>
        <v>6.8999999999999995</v>
      </c>
    </row>
    <row r="835" spans="1:12" ht="15" customHeight="1" x14ac:dyDescent="0.25">
      <c r="A835" s="166"/>
      <c r="B835" s="166">
        <v>567</v>
      </c>
      <c r="C835" s="151" t="s">
        <v>1</v>
      </c>
      <c r="D835" s="84" t="s">
        <v>613</v>
      </c>
      <c r="E835" s="75" t="s">
        <v>8</v>
      </c>
      <c r="F835" s="140">
        <v>1</v>
      </c>
      <c r="G835" s="77">
        <v>1.5</v>
      </c>
      <c r="H835" s="139">
        <v>15.45</v>
      </c>
      <c r="I835" s="140">
        <f t="shared" si="46"/>
        <v>23.174999999999997</v>
      </c>
    </row>
    <row r="836" spans="1:12" ht="15" customHeight="1" x14ac:dyDescent="0.25">
      <c r="A836" s="166"/>
      <c r="B836" s="166">
        <v>3768</v>
      </c>
      <c r="C836" s="151" t="s">
        <v>1</v>
      </c>
      <c r="D836" s="84" t="s">
        <v>445</v>
      </c>
      <c r="E836" s="75" t="s">
        <v>22</v>
      </c>
      <c r="F836" s="140">
        <v>1</v>
      </c>
      <c r="G836" s="77">
        <v>0.32</v>
      </c>
      <c r="H836" s="139">
        <v>3.36</v>
      </c>
      <c r="I836" s="140">
        <f t="shared" si="46"/>
        <v>1.0751999999999999</v>
      </c>
    </row>
    <row r="837" spans="1:12" ht="15" customHeight="1" x14ac:dyDescent="0.25">
      <c r="A837" s="166"/>
      <c r="B837" s="166">
        <v>7307</v>
      </c>
      <c r="C837" s="151" t="s">
        <v>1</v>
      </c>
      <c r="D837" s="84" t="s">
        <v>444</v>
      </c>
      <c r="E837" s="75" t="s">
        <v>443</v>
      </c>
      <c r="F837" s="140">
        <v>1</v>
      </c>
      <c r="G837" s="77">
        <v>0.1</v>
      </c>
      <c r="H837" s="139">
        <v>31.43</v>
      </c>
      <c r="I837" s="140">
        <f t="shared" si="46"/>
        <v>3.1430000000000002</v>
      </c>
    </row>
    <row r="838" spans="1:12" ht="15" customHeight="1" thickBot="1" x14ac:dyDescent="0.3">
      <c r="A838" s="166"/>
      <c r="B838" s="166">
        <v>7292</v>
      </c>
      <c r="C838" s="151" t="s">
        <v>1</v>
      </c>
      <c r="D838" s="84" t="s">
        <v>442</v>
      </c>
      <c r="E838" s="75" t="s">
        <v>443</v>
      </c>
      <c r="F838" s="140">
        <v>1</v>
      </c>
      <c r="G838" s="77">
        <v>0.16</v>
      </c>
      <c r="H838" s="139">
        <v>29.14</v>
      </c>
      <c r="I838" s="140">
        <f t="shared" si="46"/>
        <v>4.6623999999999999</v>
      </c>
    </row>
    <row r="839" spans="1:12" ht="15" customHeight="1" thickBot="1" x14ac:dyDescent="0.3">
      <c r="B839" s="335" t="s">
        <v>28</v>
      </c>
      <c r="C839" s="335"/>
      <c r="D839" s="141"/>
      <c r="E839" s="226" t="s">
        <v>22</v>
      </c>
      <c r="F839" s="226" t="s">
        <v>23</v>
      </c>
      <c r="G839" s="88" t="s">
        <v>24</v>
      </c>
      <c r="H839" s="89" t="s">
        <v>25</v>
      </c>
      <c r="I839" s="226" t="s">
        <v>26</v>
      </c>
    </row>
    <row r="840" spans="1:12" ht="15" customHeight="1" x14ac:dyDescent="0.25">
      <c r="B840" s="166">
        <v>88315</v>
      </c>
      <c r="C840" s="151" t="s">
        <v>1</v>
      </c>
      <c r="D840" s="84" t="s">
        <v>722</v>
      </c>
      <c r="E840" s="75" t="s">
        <v>2</v>
      </c>
      <c r="F840" s="140">
        <v>1</v>
      </c>
      <c r="G840" s="77">
        <v>0.66600000000000004</v>
      </c>
      <c r="H840" s="139">
        <v>18.75</v>
      </c>
      <c r="I840" s="140">
        <f>F840*G840*H840</f>
        <v>12.487500000000001</v>
      </c>
    </row>
    <row r="841" spans="1:12" ht="15" customHeight="1" x14ac:dyDescent="0.25">
      <c r="B841" s="166">
        <v>88251</v>
      </c>
      <c r="C841" s="151" t="s">
        <v>1</v>
      </c>
      <c r="D841" s="84" t="s">
        <v>616</v>
      </c>
      <c r="E841" s="75" t="s">
        <v>2</v>
      </c>
      <c r="F841" s="140">
        <v>1</v>
      </c>
      <c r="G841" s="77">
        <v>0.66600000000000004</v>
      </c>
      <c r="H841" s="139">
        <v>16.05</v>
      </c>
      <c r="I841" s="140">
        <f>F841*G841*H841</f>
        <v>10.689300000000001</v>
      </c>
    </row>
    <row r="842" spans="1:12" ht="15" customHeight="1" x14ac:dyDescent="0.25">
      <c r="B842" s="166">
        <v>88310</v>
      </c>
      <c r="C842" s="151" t="s">
        <v>1</v>
      </c>
      <c r="D842" s="84" t="s">
        <v>438</v>
      </c>
      <c r="E842" s="75" t="s">
        <v>2</v>
      </c>
      <c r="F842" s="140">
        <v>1</v>
      </c>
      <c r="G842" s="77">
        <v>0.3</v>
      </c>
      <c r="H842" s="139">
        <v>19.940000000000001</v>
      </c>
      <c r="I842" s="140">
        <f>F842*G842*H842</f>
        <v>5.9820000000000002</v>
      </c>
    </row>
    <row r="843" spans="1:12" ht="15" customHeight="1" thickBot="1" x14ac:dyDescent="0.3">
      <c r="B843" s="166">
        <v>100301</v>
      </c>
      <c r="C843" s="151" t="s">
        <v>1</v>
      </c>
      <c r="D843" s="84" t="s">
        <v>439</v>
      </c>
      <c r="E843" s="75" t="s">
        <v>2</v>
      </c>
      <c r="F843" s="140">
        <v>1</v>
      </c>
      <c r="G843" s="77">
        <v>0.3</v>
      </c>
      <c r="H843" s="139">
        <v>17.23</v>
      </c>
      <c r="I843" s="140">
        <f>F843*G843*H843</f>
        <v>5.1689999999999996</v>
      </c>
    </row>
    <row r="844" spans="1:12" ht="15" customHeight="1" thickBot="1" x14ac:dyDescent="0.3">
      <c r="B844" s="328" t="s">
        <v>29</v>
      </c>
      <c r="C844" s="328"/>
      <c r="D844" s="328"/>
      <c r="E844" s="328"/>
      <c r="F844" s="328"/>
      <c r="G844" s="328"/>
      <c r="H844" s="328"/>
      <c r="I844" s="296">
        <f>SUM(I831:I843)</f>
        <v>85.207399999999993</v>
      </c>
    </row>
    <row r="845" spans="1:12" s="90" customFormat="1" ht="12" customHeight="1" x14ac:dyDescent="0.25">
      <c r="B845" s="166"/>
      <c r="C845" s="223" t="s">
        <v>30</v>
      </c>
      <c r="D845" s="90" t="s">
        <v>473</v>
      </c>
      <c r="E845" s="75"/>
      <c r="F845" s="75"/>
      <c r="G845" s="85"/>
      <c r="H845" s="139"/>
      <c r="I845" s="293"/>
      <c r="L845" s="85"/>
    </row>
    <row r="846" spans="1:12" s="90" customFormat="1" ht="12" customHeight="1" x14ac:dyDescent="0.25">
      <c r="B846" s="166"/>
      <c r="C846" s="223"/>
      <c r="E846" s="75"/>
      <c r="F846" s="75"/>
      <c r="G846" s="85"/>
      <c r="H846" s="139"/>
      <c r="I846" s="295"/>
      <c r="L846" s="85"/>
    </row>
    <row r="847" spans="1:12" s="90" customFormat="1" ht="12" customHeight="1" thickBot="1" x14ac:dyDescent="0.3">
      <c r="B847" s="166"/>
      <c r="C847" s="223"/>
      <c r="E847" s="75"/>
      <c r="F847" s="75"/>
      <c r="G847" s="85"/>
      <c r="H847" s="139"/>
      <c r="I847" s="292"/>
      <c r="L847" s="85"/>
    </row>
    <row r="848" spans="1:12" ht="14.4" thickBot="1" x14ac:dyDescent="0.3">
      <c r="B848" s="330" t="s">
        <v>18</v>
      </c>
      <c r="C848" s="330"/>
      <c r="D848" s="331" t="s">
        <v>19</v>
      </c>
      <c r="E848" s="331"/>
      <c r="F848" s="331"/>
      <c r="G848" s="331"/>
      <c r="H848" s="331"/>
      <c r="I848" s="291" t="s">
        <v>20</v>
      </c>
    </row>
    <row r="849" spans="2:12" ht="14.4" thickBot="1" x14ac:dyDescent="0.3">
      <c r="B849" s="336" t="s">
        <v>582</v>
      </c>
      <c r="C849" s="336"/>
      <c r="D849" s="332" t="s">
        <v>624</v>
      </c>
      <c r="E849" s="332"/>
      <c r="F849" s="332"/>
      <c r="G849" s="332"/>
      <c r="H849" s="332"/>
      <c r="I849" s="80" t="s">
        <v>472</v>
      </c>
    </row>
    <row r="850" spans="2:12" ht="15" customHeight="1" thickBot="1" x14ac:dyDescent="0.3">
      <c r="B850" s="335" t="s">
        <v>28</v>
      </c>
      <c r="C850" s="335"/>
      <c r="D850" s="141"/>
      <c r="E850" s="226" t="s">
        <v>22</v>
      </c>
      <c r="F850" s="226" t="s">
        <v>23</v>
      </c>
      <c r="G850" s="88" t="s">
        <v>24</v>
      </c>
      <c r="H850" s="89" t="s">
        <v>25</v>
      </c>
      <c r="I850" s="226" t="s">
        <v>26</v>
      </c>
    </row>
    <row r="851" spans="2:12" ht="15" customHeight="1" x14ac:dyDescent="0.25">
      <c r="B851" s="166">
        <v>100308</v>
      </c>
      <c r="C851" s="151" t="s">
        <v>1</v>
      </c>
      <c r="D851" s="84" t="s">
        <v>457</v>
      </c>
      <c r="E851" s="75" t="s">
        <v>2</v>
      </c>
      <c r="F851" s="140">
        <v>1</v>
      </c>
      <c r="G851" s="77">
        <v>15</v>
      </c>
      <c r="H851" s="139">
        <v>20.87</v>
      </c>
      <c r="I851" s="140">
        <f t="shared" ref="I851:I852" si="47">F851*G851*H851</f>
        <v>313.05</v>
      </c>
    </row>
    <row r="852" spans="2:12" ht="15" customHeight="1" thickBot="1" x14ac:dyDescent="0.3">
      <c r="B852" s="166">
        <v>100305</v>
      </c>
      <c r="C852" s="151" t="s">
        <v>1</v>
      </c>
      <c r="D852" s="84" t="s">
        <v>957</v>
      </c>
      <c r="E852" s="75" t="s">
        <v>2</v>
      </c>
      <c r="F852" s="140">
        <v>1</v>
      </c>
      <c r="G852" s="77">
        <v>25</v>
      </c>
      <c r="H852" s="139">
        <v>81.96</v>
      </c>
      <c r="I852" s="140">
        <f t="shared" si="47"/>
        <v>2049</v>
      </c>
    </row>
    <row r="853" spans="2:12" ht="15" customHeight="1" thickBot="1" x14ac:dyDescent="0.3">
      <c r="B853" s="328" t="s">
        <v>29</v>
      </c>
      <c r="C853" s="328"/>
      <c r="D853" s="328"/>
      <c r="E853" s="328"/>
      <c r="F853" s="328"/>
      <c r="G853" s="328"/>
      <c r="H853" s="328"/>
      <c r="I853" s="296">
        <f>SUM(I851:I852)</f>
        <v>2362.0500000000002</v>
      </c>
    </row>
    <row r="854" spans="2:12" s="90" customFormat="1" ht="12" customHeight="1" x14ac:dyDescent="0.25">
      <c r="B854" s="166"/>
      <c r="C854" s="223" t="s">
        <v>30</v>
      </c>
      <c r="D854" s="90" t="s">
        <v>638</v>
      </c>
      <c r="E854" s="75"/>
      <c r="F854" s="75"/>
      <c r="G854" s="85"/>
      <c r="H854" s="139"/>
      <c r="I854" s="293"/>
      <c r="L854" s="85"/>
    </row>
    <row r="855" spans="2:12" s="90" customFormat="1" ht="12" customHeight="1" x14ac:dyDescent="0.25">
      <c r="B855" s="166"/>
      <c r="C855" s="223"/>
      <c r="E855" s="75"/>
      <c r="F855" s="75"/>
      <c r="G855" s="85"/>
      <c r="H855" s="139"/>
      <c r="I855" s="295"/>
      <c r="L855" s="85"/>
    </row>
    <row r="856" spans="2:12" s="90" customFormat="1" ht="12" customHeight="1" thickBot="1" x14ac:dyDescent="0.3">
      <c r="B856" s="166"/>
      <c r="C856" s="223"/>
      <c r="E856" s="75"/>
      <c r="F856" s="75"/>
      <c r="G856" s="85"/>
      <c r="H856" s="139"/>
      <c r="I856" s="292"/>
      <c r="L856" s="85"/>
    </row>
    <row r="857" spans="2:12" ht="14.4" thickBot="1" x14ac:dyDescent="0.3">
      <c r="B857" s="330" t="s">
        <v>18</v>
      </c>
      <c r="C857" s="330"/>
      <c r="D857" s="331" t="s">
        <v>19</v>
      </c>
      <c r="E857" s="331"/>
      <c r="F857" s="331"/>
      <c r="G857" s="331"/>
      <c r="H857" s="331"/>
      <c r="I857" s="291" t="s">
        <v>20</v>
      </c>
    </row>
    <row r="858" spans="2:12" ht="14.4" thickBot="1" x14ac:dyDescent="0.3">
      <c r="B858" s="336" t="s">
        <v>589</v>
      </c>
      <c r="C858" s="336"/>
      <c r="D858" s="332" t="s">
        <v>255</v>
      </c>
      <c r="E858" s="332"/>
      <c r="F858" s="332"/>
      <c r="G858" s="332"/>
      <c r="H858" s="332"/>
      <c r="I858" s="80" t="s">
        <v>472</v>
      </c>
    </row>
    <row r="859" spans="2:12" ht="14.4" thickBot="1" x14ac:dyDescent="0.3">
      <c r="B859" s="328" t="s">
        <v>21</v>
      </c>
      <c r="C859" s="328"/>
      <c r="D859" s="141"/>
      <c r="E859" s="226" t="s">
        <v>22</v>
      </c>
      <c r="F859" s="226" t="s">
        <v>23</v>
      </c>
      <c r="G859" s="88" t="s">
        <v>24</v>
      </c>
      <c r="H859" s="89" t="s">
        <v>25</v>
      </c>
      <c r="I859" s="226" t="s">
        <v>26</v>
      </c>
    </row>
    <row r="860" spans="2:12" ht="30.6" x14ac:dyDescent="0.25">
      <c r="B860" s="166">
        <v>10521</v>
      </c>
      <c r="C860" s="151" t="s">
        <v>1</v>
      </c>
      <c r="D860" s="84" t="s">
        <v>247</v>
      </c>
      <c r="E860" s="75" t="s">
        <v>22</v>
      </c>
      <c r="F860" s="140">
        <v>1</v>
      </c>
      <c r="G860" s="77">
        <v>1</v>
      </c>
      <c r="H860" s="139">
        <v>285.39999999999998</v>
      </c>
      <c r="I860" s="140">
        <f t="shared" ref="I860:I868" si="48">F860*G860*H860</f>
        <v>285.39999999999998</v>
      </c>
    </row>
    <row r="861" spans="2:12" ht="20.399999999999999" x14ac:dyDescent="0.25">
      <c r="B861" s="166">
        <v>10899</v>
      </c>
      <c r="C861" s="151" t="s">
        <v>1</v>
      </c>
      <c r="D861" s="84" t="s">
        <v>254</v>
      </c>
      <c r="E861" s="75" t="s">
        <v>22</v>
      </c>
      <c r="F861" s="140">
        <v>1</v>
      </c>
      <c r="G861" s="77">
        <v>1</v>
      </c>
      <c r="H861" s="139">
        <v>68.12</v>
      </c>
      <c r="I861" s="140">
        <f t="shared" si="48"/>
        <v>68.12</v>
      </c>
    </row>
    <row r="862" spans="2:12" ht="20.399999999999999" x14ac:dyDescent="0.25">
      <c r="B862" s="166">
        <v>10904</v>
      </c>
      <c r="C862" s="151" t="s">
        <v>1</v>
      </c>
      <c r="D862" s="84" t="s">
        <v>249</v>
      </c>
      <c r="E862" s="75" t="s">
        <v>22</v>
      </c>
      <c r="F862" s="140">
        <v>1</v>
      </c>
      <c r="G862" s="77">
        <v>1</v>
      </c>
      <c r="H862" s="139">
        <v>155.5</v>
      </c>
      <c r="I862" s="140">
        <f t="shared" si="48"/>
        <v>155.5</v>
      </c>
    </row>
    <row r="863" spans="2:12" ht="21" thickBot="1" x14ac:dyDescent="0.3">
      <c r="B863" s="166">
        <v>20971</v>
      </c>
      <c r="C863" s="151" t="s">
        <v>1</v>
      </c>
      <c r="D863" s="84" t="s">
        <v>250</v>
      </c>
      <c r="E863" s="75" t="s">
        <v>22</v>
      </c>
      <c r="F863" s="140">
        <v>1</v>
      </c>
      <c r="G863" s="77">
        <v>1</v>
      </c>
      <c r="H863" s="139">
        <v>14.8</v>
      </c>
      <c r="I863" s="140">
        <f t="shared" si="48"/>
        <v>14.8</v>
      </c>
    </row>
    <row r="864" spans="2:12" ht="14.4" thickBot="1" x14ac:dyDescent="0.3">
      <c r="B864" s="328" t="s">
        <v>27</v>
      </c>
      <c r="C864" s="328"/>
      <c r="D864" s="141"/>
      <c r="E864" s="82" t="s">
        <v>22</v>
      </c>
      <c r="F864" s="82" t="s">
        <v>23</v>
      </c>
      <c r="G864" s="88" t="s">
        <v>24</v>
      </c>
      <c r="H864" s="89" t="s">
        <v>25</v>
      </c>
      <c r="I864" s="226" t="s">
        <v>26</v>
      </c>
    </row>
    <row r="865" spans="2:12" ht="31.2" thickBot="1" x14ac:dyDescent="0.3">
      <c r="B865" s="166">
        <v>87367</v>
      </c>
      <c r="C865" s="151" t="s">
        <v>1</v>
      </c>
      <c r="D865" s="84" t="s">
        <v>251</v>
      </c>
      <c r="E865" s="75" t="s">
        <v>80</v>
      </c>
      <c r="F865" s="140">
        <v>1</v>
      </c>
      <c r="G865" s="77">
        <v>0.29399999999999998</v>
      </c>
      <c r="H865" s="139">
        <v>554.6</v>
      </c>
      <c r="I865" s="140">
        <f t="shared" si="48"/>
        <v>163.05240000000001</v>
      </c>
    </row>
    <row r="866" spans="2:12" ht="14.4" thickBot="1" x14ac:dyDescent="0.3">
      <c r="B866" s="328" t="s">
        <v>28</v>
      </c>
      <c r="C866" s="328"/>
      <c r="D866" s="141"/>
      <c r="E866" s="82" t="s">
        <v>22</v>
      </c>
      <c r="F866" s="82" t="s">
        <v>23</v>
      </c>
      <c r="G866" s="88" t="s">
        <v>24</v>
      </c>
      <c r="H866" s="89" t="s">
        <v>25</v>
      </c>
      <c r="I866" s="226" t="s">
        <v>26</v>
      </c>
    </row>
    <row r="867" spans="2:12" x14ac:dyDescent="0.25">
      <c r="B867" s="166">
        <v>88248</v>
      </c>
      <c r="C867" s="151" t="s">
        <v>1</v>
      </c>
      <c r="D867" s="84" t="s">
        <v>252</v>
      </c>
      <c r="E867" s="75" t="s">
        <v>2</v>
      </c>
      <c r="F867" s="140">
        <v>1</v>
      </c>
      <c r="G867" s="77">
        <v>1.9053</v>
      </c>
      <c r="H867" s="139">
        <v>15.54</v>
      </c>
      <c r="I867" s="140">
        <f t="shared" si="48"/>
        <v>29.608362</v>
      </c>
    </row>
    <row r="868" spans="2:12" ht="14.4" thickBot="1" x14ac:dyDescent="0.3">
      <c r="B868" s="166">
        <v>88267</v>
      </c>
      <c r="C868" s="151" t="s">
        <v>1</v>
      </c>
      <c r="D868" s="84" t="s">
        <v>253</v>
      </c>
      <c r="E868" s="75" t="s">
        <v>2</v>
      </c>
      <c r="F868" s="140">
        <v>1</v>
      </c>
      <c r="G868" s="77">
        <v>1.9053</v>
      </c>
      <c r="H868" s="139">
        <v>18.72</v>
      </c>
      <c r="I868" s="140">
        <f t="shared" si="48"/>
        <v>35.667215999999996</v>
      </c>
    </row>
    <row r="869" spans="2:12" ht="15" customHeight="1" thickBot="1" x14ac:dyDescent="0.3">
      <c r="B869" s="328" t="s">
        <v>29</v>
      </c>
      <c r="C869" s="328"/>
      <c r="D869" s="328"/>
      <c r="E869" s="328"/>
      <c r="F869" s="328"/>
      <c r="G869" s="328"/>
      <c r="H869" s="328"/>
      <c r="I869" s="296">
        <f>SUM(I860:I868)</f>
        <v>752.14797799999997</v>
      </c>
    </row>
    <row r="870" spans="2:12" s="90" customFormat="1" ht="12" customHeight="1" x14ac:dyDescent="0.25">
      <c r="B870" s="166"/>
      <c r="C870" s="223" t="s">
        <v>30</v>
      </c>
      <c r="D870" s="90" t="s">
        <v>248</v>
      </c>
      <c r="E870" s="75"/>
      <c r="F870" s="75"/>
      <c r="G870" s="85"/>
      <c r="H870" s="139"/>
      <c r="I870" s="293"/>
      <c r="L870" s="85"/>
    </row>
    <row r="871" spans="2:12" s="90" customFormat="1" ht="12" customHeight="1" x14ac:dyDescent="0.25">
      <c r="B871" s="166"/>
      <c r="C871" s="223"/>
      <c r="E871" s="75"/>
      <c r="F871" s="75"/>
      <c r="G871" s="85"/>
      <c r="H871" s="139"/>
      <c r="I871" s="295"/>
      <c r="L871" s="85"/>
    </row>
    <row r="872" spans="2:12" s="90" customFormat="1" ht="12" customHeight="1" thickBot="1" x14ac:dyDescent="0.3">
      <c r="B872" s="166"/>
      <c r="C872" s="223"/>
      <c r="E872" s="75"/>
      <c r="F872" s="75"/>
      <c r="G872" s="85"/>
      <c r="H872" s="139"/>
      <c r="I872" s="292"/>
      <c r="L872" s="85"/>
    </row>
    <row r="873" spans="2:12" ht="14.4" thickBot="1" x14ac:dyDescent="0.3">
      <c r="B873" s="330" t="s">
        <v>18</v>
      </c>
      <c r="C873" s="330"/>
      <c r="D873" s="331" t="s">
        <v>19</v>
      </c>
      <c r="E873" s="331"/>
      <c r="F873" s="331"/>
      <c r="G873" s="331"/>
      <c r="H873" s="331"/>
      <c r="I873" s="291" t="s">
        <v>20</v>
      </c>
    </row>
    <row r="874" spans="2:12" ht="14.4" thickBot="1" x14ac:dyDescent="0.3">
      <c r="B874" s="333" t="s">
        <v>594</v>
      </c>
      <c r="C874" s="333"/>
      <c r="D874" s="338" t="s">
        <v>293</v>
      </c>
      <c r="E874" s="338"/>
      <c r="F874" s="338"/>
      <c r="G874" s="338"/>
      <c r="H874" s="338"/>
      <c r="I874" s="80" t="s">
        <v>472</v>
      </c>
    </row>
    <row r="875" spans="2:12" ht="14.4" thickBot="1" x14ac:dyDescent="0.3">
      <c r="B875" s="328" t="s">
        <v>21</v>
      </c>
      <c r="C875" s="328"/>
      <c r="D875" s="141"/>
      <c r="E875" s="82" t="s">
        <v>22</v>
      </c>
      <c r="F875" s="82" t="s">
        <v>23</v>
      </c>
      <c r="G875" s="88" t="s">
        <v>24</v>
      </c>
      <c r="H875" s="89" t="s">
        <v>25</v>
      </c>
      <c r="I875" s="226" t="s">
        <v>26</v>
      </c>
    </row>
    <row r="876" spans="2:12" ht="14.4" thickBot="1" x14ac:dyDescent="0.3">
      <c r="B876" s="166">
        <v>14112</v>
      </c>
      <c r="C876" s="151" t="s">
        <v>1</v>
      </c>
      <c r="D876" s="84" t="s">
        <v>292</v>
      </c>
      <c r="E876" s="75" t="s">
        <v>22</v>
      </c>
      <c r="F876" s="140">
        <v>1</v>
      </c>
      <c r="G876" s="77">
        <v>1</v>
      </c>
      <c r="H876" s="139">
        <v>337.67</v>
      </c>
      <c r="I876" s="140">
        <f t="shared" ref="I876:I884" si="49">F876*G876*H876</f>
        <v>337.67</v>
      </c>
    </row>
    <row r="877" spans="2:12" ht="14.4" thickBot="1" x14ac:dyDescent="0.3">
      <c r="B877" s="328" t="s">
        <v>27</v>
      </c>
      <c r="C877" s="328"/>
      <c r="D877" s="141"/>
      <c r="E877" s="82" t="s">
        <v>22</v>
      </c>
      <c r="F877" s="82" t="s">
        <v>23</v>
      </c>
      <c r="G877" s="88" t="s">
        <v>24</v>
      </c>
      <c r="H877" s="89" t="s">
        <v>25</v>
      </c>
      <c r="I877" s="226" t="s">
        <v>26</v>
      </c>
    </row>
    <row r="878" spans="2:12" ht="30.6" x14ac:dyDescent="0.25">
      <c r="B878" s="166">
        <v>5678</v>
      </c>
      <c r="C878" s="151" t="s">
        <v>1</v>
      </c>
      <c r="D878" s="84" t="s">
        <v>284</v>
      </c>
      <c r="E878" s="75" t="s">
        <v>6</v>
      </c>
      <c r="F878" s="140">
        <v>1</v>
      </c>
      <c r="G878" s="77">
        <v>8.6999999999999994E-3</v>
      </c>
      <c r="H878" s="139">
        <v>115.29</v>
      </c>
      <c r="I878" s="140">
        <f t="shared" si="49"/>
        <v>1.003023</v>
      </c>
    </row>
    <row r="879" spans="2:12" ht="30.6" x14ac:dyDescent="0.25">
      <c r="B879" s="166">
        <v>5679</v>
      </c>
      <c r="C879" s="151" t="s">
        <v>1</v>
      </c>
      <c r="D879" s="84" t="s">
        <v>285</v>
      </c>
      <c r="E879" s="75" t="s">
        <v>283</v>
      </c>
      <c r="F879" s="140">
        <v>1</v>
      </c>
      <c r="G879" s="77">
        <v>2.9399999999999999E-2</v>
      </c>
      <c r="H879" s="139">
        <v>40.15</v>
      </c>
      <c r="I879" s="140">
        <f t="shared" si="49"/>
        <v>1.18041</v>
      </c>
    </row>
    <row r="880" spans="2:12" ht="20.399999999999999" x14ac:dyDescent="0.25">
      <c r="B880" s="166">
        <v>101623</v>
      </c>
      <c r="C880" s="151" t="s">
        <v>1</v>
      </c>
      <c r="D880" s="84" t="s">
        <v>288</v>
      </c>
      <c r="E880" s="75" t="s">
        <v>80</v>
      </c>
      <c r="F880" s="140">
        <v>1</v>
      </c>
      <c r="G880" s="77">
        <f>0.6*0.6*0.05</f>
        <v>1.7999999999999999E-2</v>
      </c>
      <c r="H880" s="139">
        <v>188.56</v>
      </c>
      <c r="I880" s="140">
        <f t="shared" si="49"/>
        <v>3.3940799999999998</v>
      </c>
    </row>
    <row r="881" spans="2:12" ht="20.399999999999999" x14ac:dyDescent="0.25">
      <c r="B881" s="166">
        <v>103316</v>
      </c>
      <c r="C881" s="151" t="s">
        <v>1</v>
      </c>
      <c r="D881" s="84" t="s">
        <v>287</v>
      </c>
      <c r="E881" s="75" t="s">
        <v>37</v>
      </c>
      <c r="F881" s="140">
        <v>1</v>
      </c>
      <c r="G881" s="77">
        <v>1.512</v>
      </c>
      <c r="H881" s="139">
        <v>61.98</v>
      </c>
      <c r="I881" s="140">
        <f>F881*G881*H881</f>
        <v>93.713759999999994</v>
      </c>
    </row>
    <row r="882" spans="2:12" ht="20.399999999999999" x14ac:dyDescent="0.25">
      <c r="B882" s="166">
        <v>87316</v>
      </c>
      <c r="C882" s="151" t="s">
        <v>1</v>
      </c>
      <c r="D882" s="84" t="s">
        <v>286</v>
      </c>
      <c r="E882" s="75" t="s">
        <v>80</v>
      </c>
      <c r="F882" s="140">
        <v>1</v>
      </c>
      <c r="G882" s="77">
        <f>(1.512*0.015)</f>
        <v>2.2679999999999999E-2</v>
      </c>
      <c r="H882" s="139">
        <v>400.54</v>
      </c>
      <c r="I882" s="140">
        <f t="shared" si="49"/>
        <v>9.0842472000000001</v>
      </c>
    </row>
    <row r="883" spans="2:12" ht="20.399999999999999" x14ac:dyDescent="0.25">
      <c r="B883" s="166">
        <v>88628</v>
      </c>
      <c r="C883" s="151" t="s">
        <v>1</v>
      </c>
      <c r="D883" s="84" t="s">
        <v>289</v>
      </c>
      <c r="E883" s="75" t="s">
        <v>80</v>
      </c>
      <c r="F883" s="140">
        <v>1</v>
      </c>
      <c r="G883" s="77">
        <f>2*(0.64*0.6*0.02)+2*(0.4*0.6*0.02)</f>
        <v>2.496E-2</v>
      </c>
      <c r="H883" s="139">
        <v>486.93</v>
      </c>
      <c r="I883" s="140">
        <f t="shared" si="49"/>
        <v>12.1537728</v>
      </c>
    </row>
    <row r="884" spans="2:12" ht="21" thickBot="1" x14ac:dyDescent="0.3">
      <c r="B884" s="166">
        <v>97735</v>
      </c>
      <c r="C884" s="151" t="s">
        <v>1</v>
      </c>
      <c r="D884" s="84" t="s">
        <v>291</v>
      </c>
      <c r="E884" s="75" t="s">
        <v>80</v>
      </c>
      <c r="F884" s="140">
        <v>1</v>
      </c>
      <c r="G884" s="77">
        <v>4.48E-2</v>
      </c>
      <c r="H884" s="139">
        <v>2026.58</v>
      </c>
      <c r="I884" s="140">
        <f t="shared" si="49"/>
        <v>90.790784000000002</v>
      </c>
    </row>
    <row r="885" spans="2:12" ht="14.4" thickBot="1" x14ac:dyDescent="0.3">
      <c r="B885" s="328" t="s">
        <v>28</v>
      </c>
      <c r="C885" s="328"/>
      <c r="D885" s="141"/>
      <c r="E885" s="82" t="s">
        <v>22</v>
      </c>
      <c r="F885" s="82" t="s">
        <v>23</v>
      </c>
      <c r="G885" s="88" t="s">
        <v>24</v>
      </c>
      <c r="H885" s="89" t="s">
        <v>25</v>
      </c>
      <c r="I885" s="226" t="s">
        <v>26</v>
      </c>
      <c r="K885" s="91"/>
    </row>
    <row r="886" spans="2:12" x14ac:dyDescent="0.25">
      <c r="B886" s="166">
        <v>88316</v>
      </c>
      <c r="C886" s="151" t="s">
        <v>1</v>
      </c>
      <c r="D886" s="84" t="s">
        <v>43</v>
      </c>
      <c r="E886" s="75" t="s">
        <v>2</v>
      </c>
      <c r="F886" s="140">
        <v>1</v>
      </c>
      <c r="G886" s="77">
        <f>3.531*0.7561</f>
        <v>2.6697891</v>
      </c>
      <c r="H886" s="139">
        <v>15.16</v>
      </c>
      <c r="I886" s="140">
        <f>F886*G886*H886</f>
        <v>40.474002755999997</v>
      </c>
    </row>
    <row r="887" spans="2:12" ht="14.4" thickBot="1" x14ac:dyDescent="0.3">
      <c r="B887" s="166">
        <v>88309</v>
      </c>
      <c r="C887" s="151" t="s">
        <v>1</v>
      </c>
      <c r="D887" s="84" t="s">
        <v>290</v>
      </c>
      <c r="E887" s="75" t="s">
        <v>2</v>
      </c>
      <c r="F887" s="140">
        <v>1</v>
      </c>
      <c r="G887" s="77">
        <f>3.531*0.7561</f>
        <v>2.6697891</v>
      </c>
      <c r="H887" s="139">
        <v>18.86</v>
      </c>
      <c r="I887" s="140">
        <f>F887*G887*H887</f>
        <v>50.352222425999997</v>
      </c>
    </row>
    <row r="888" spans="2:12" ht="15" customHeight="1" thickBot="1" x14ac:dyDescent="0.3">
      <c r="B888" s="328" t="s">
        <v>29</v>
      </c>
      <c r="C888" s="328"/>
      <c r="D888" s="328"/>
      <c r="E888" s="328"/>
      <c r="F888" s="328"/>
      <c r="G888" s="328"/>
      <c r="H888" s="328"/>
      <c r="I888" s="296">
        <f>SUM(I876:I887)</f>
        <v>639.81630218199996</v>
      </c>
    </row>
    <row r="889" spans="2:12" s="90" customFormat="1" ht="12" customHeight="1" x14ac:dyDescent="0.25">
      <c r="B889" s="166"/>
      <c r="C889" s="223" t="s">
        <v>30</v>
      </c>
      <c r="D889" s="90" t="s">
        <v>275</v>
      </c>
      <c r="E889" s="75"/>
      <c r="F889" s="75"/>
      <c r="G889" s="85"/>
      <c r="H889" s="139"/>
      <c r="I889" s="293"/>
      <c r="L889" s="85"/>
    </row>
    <row r="890" spans="2:12" s="90" customFormat="1" ht="12" customHeight="1" x14ac:dyDescent="0.25">
      <c r="B890" s="166"/>
      <c r="C890" s="223"/>
      <c r="E890" s="75"/>
      <c r="F890" s="75"/>
      <c r="G890" s="85"/>
      <c r="H890" s="139"/>
      <c r="I890" s="295"/>
      <c r="L890" s="85"/>
    </row>
    <row r="891" spans="2:12" s="90" customFormat="1" ht="12" customHeight="1" thickBot="1" x14ac:dyDescent="0.3">
      <c r="B891" s="166"/>
      <c r="C891" s="223"/>
      <c r="E891" s="75"/>
      <c r="F891" s="75"/>
      <c r="G891" s="85"/>
      <c r="H891" s="139"/>
      <c r="I891" s="292"/>
      <c r="L891" s="85"/>
    </row>
    <row r="892" spans="2:12" ht="14.4" thickBot="1" x14ac:dyDescent="0.3">
      <c r="B892" s="330" t="s">
        <v>18</v>
      </c>
      <c r="C892" s="330"/>
      <c r="D892" s="331" t="s">
        <v>19</v>
      </c>
      <c r="E892" s="331"/>
      <c r="F892" s="331"/>
      <c r="G892" s="331"/>
      <c r="H892" s="331"/>
      <c r="I892" s="291" t="s">
        <v>20</v>
      </c>
    </row>
    <row r="893" spans="2:12" ht="14.4" thickBot="1" x14ac:dyDescent="0.3">
      <c r="B893" s="329" t="s">
        <v>595</v>
      </c>
      <c r="C893" s="329"/>
      <c r="D893" s="332" t="s">
        <v>259</v>
      </c>
      <c r="E893" s="332"/>
      <c r="F893" s="332"/>
      <c r="G893" s="332"/>
      <c r="H893" s="332"/>
      <c r="I893" s="80" t="s">
        <v>472</v>
      </c>
    </row>
    <row r="894" spans="2:12" ht="14.4" thickBot="1" x14ac:dyDescent="0.3">
      <c r="B894" s="328" t="s">
        <v>21</v>
      </c>
      <c r="C894" s="328"/>
      <c r="D894" s="141"/>
      <c r="E894" s="226" t="s">
        <v>22</v>
      </c>
      <c r="F894" s="226" t="s">
        <v>23</v>
      </c>
      <c r="G894" s="88" t="s">
        <v>24</v>
      </c>
      <c r="H894" s="89" t="s">
        <v>25</v>
      </c>
      <c r="I894" s="226" t="s">
        <v>26</v>
      </c>
    </row>
    <row r="895" spans="2:12" ht="14.4" thickBot="1" x14ac:dyDescent="0.3">
      <c r="B895" s="166"/>
      <c r="C895" s="151" t="s">
        <v>206</v>
      </c>
      <c r="D895" s="84" t="s">
        <v>262</v>
      </c>
      <c r="E895" s="75" t="s">
        <v>22</v>
      </c>
      <c r="F895" s="140">
        <v>1</v>
      </c>
      <c r="G895" s="77">
        <v>1</v>
      </c>
      <c r="H895" s="139">
        <v>143.44</v>
      </c>
      <c r="I895" s="140">
        <f>F895*G895*H895</f>
        <v>143.44</v>
      </c>
      <c r="J895" s="104"/>
    </row>
    <row r="896" spans="2:12" ht="14.4" thickBot="1" x14ac:dyDescent="0.3">
      <c r="B896" s="328" t="s">
        <v>28</v>
      </c>
      <c r="C896" s="328"/>
      <c r="D896" s="141"/>
      <c r="E896" s="226" t="s">
        <v>22</v>
      </c>
      <c r="F896" s="226" t="s">
        <v>23</v>
      </c>
      <c r="G896" s="88" t="s">
        <v>24</v>
      </c>
      <c r="H896" s="89" t="s">
        <v>25</v>
      </c>
      <c r="I896" s="226" t="s">
        <v>26</v>
      </c>
    </row>
    <row r="897" spans="2:12" x14ac:dyDescent="0.25">
      <c r="B897" s="166">
        <v>88266</v>
      </c>
      <c r="C897" s="151" t="s">
        <v>1</v>
      </c>
      <c r="D897" s="84" t="s">
        <v>378</v>
      </c>
      <c r="E897" s="75" t="s">
        <v>2</v>
      </c>
      <c r="F897" s="140">
        <v>1</v>
      </c>
      <c r="G897" s="77">
        <v>0.35</v>
      </c>
      <c r="H897" s="139">
        <v>19.61</v>
      </c>
      <c r="I897" s="140">
        <f>F897*G897*H897</f>
        <v>6.8634999999999993</v>
      </c>
    </row>
    <row r="898" spans="2:12" ht="14.4" thickBot="1" x14ac:dyDescent="0.3">
      <c r="B898" s="166">
        <v>88264</v>
      </c>
      <c r="C898" s="151" t="s">
        <v>1</v>
      </c>
      <c r="D898" s="84" t="s">
        <v>3</v>
      </c>
      <c r="E898" s="75" t="s">
        <v>2</v>
      </c>
      <c r="F898" s="140">
        <v>1</v>
      </c>
      <c r="G898" s="77">
        <v>0.35</v>
      </c>
      <c r="H898" s="139">
        <v>19.53</v>
      </c>
      <c r="I898" s="140">
        <f>F898*G898*H898</f>
        <v>6.8354999999999997</v>
      </c>
    </row>
    <row r="899" spans="2:12" ht="15" customHeight="1" thickBot="1" x14ac:dyDescent="0.3">
      <c r="B899" s="328" t="s">
        <v>29</v>
      </c>
      <c r="C899" s="328"/>
      <c r="D899" s="328"/>
      <c r="E899" s="328"/>
      <c r="F899" s="328"/>
      <c r="G899" s="328"/>
      <c r="H899" s="328"/>
      <c r="I899" s="296">
        <f>SUM(I895:I898)</f>
        <v>157.13899999999998</v>
      </c>
    </row>
    <row r="900" spans="2:12" s="90" customFormat="1" ht="12" customHeight="1" x14ac:dyDescent="0.25">
      <c r="B900" s="166"/>
      <c r="C900" s="223" t="s">
        <v>30</v>
      </c>
      <c r="D900" s="90" t="s">
        <v>261</v>
      </c>
      <c r="E900" s="75"/>
      <c r="F900" s="75"/>
      <c r="G900" s="85"/>
      <c r="H900" s="139"/>
      <c r="I900" s="293"/>
      <c r="L900" s="85"/>
    </row>
    <row r="901" spans="2:12" s="90" customFormat="1" ht="12" customHeight="1" x14ac:dyDescent="0.25">
      <c r="B901" s="166"/>
      <c r="C901" s="223"/>
      <c r="E901" s="75"/>
      <c r="F901" s="75"/>
      <c r="G901" s="85"/>
      <c r="H901" s="139"/>
      <c r="I901" s="295"/>
      <c r="L901" s="85"/>
    </row>
    <row r="902" spans="2:12" s="90" customFormat="1" ht="12" customHeight="1" thickBot="1" x14ac:dyDescent="0.3">
      <c r="B902" s="166"/>
      <c r="C902" s="223"/>
      <c r="E902" s="75"/>
      <c r="F902" s="75"/>
      <c r="G902" s="85"/>
      <c r="H902" s="139"/>
      <c r="I902" s="292"/>
      <c r="L902" s="85"/>
    </row>
    <row r="903" spans="2:12" ht="14.4" thickBot="1" x14ac:dyDescent="0.3">
      <c r="B903" s="330" t="s">
        <v>18</v>
      </c>
      <c r="C903" s="330"/>
      <c r="D903" s="331" t="s">
        <v>19</v>
      </c>
      <c r="E903" s="331"/>
      <c r="F903" s="331"/>
      <c r="G903" s="331"/>
      <c r="H903" s="331"/>
      <c r="I903" s="291" t="s">
        <v>20</v>
      </c>
    </row>
    <row r="904" spans="2:12" ht="14.4" thickBot="1" x14ac:dyDescent="0.3">
      <c r="B904" s="329" t="s">
        <v>602</v>
      </c>
      <c r="C904" s="329"/>
      <c r="D904" s="332" t="s">
        <v>265</v>
      </c>
      <c r="E904" s="332"/>
      <c r="F904" s="332"/>
      <c r="G904" s="332"/>
      <c r="H904" s="332"/>
      <c r="I904" s="80" t="s">
        <v>472</v>
      </c>
    </row>
    <row r="905" spans="2:12" ht="14.4" thickBot="1" x14ac:dyDescent="0.3">
      <c r="B905" s="328" t="s">
        <v>21</v>
      </c>
      <c r="C905" s="328"/>
      <c r="D905" s="141"/>
      <c r="E905" s="226" t="s">
        <v>22</v>
      </c>
      <c r="F905" s="226" t="s">
        <v>23</v>
      </c>
      <c r="G905" s="88" t="s">
        <v>24</v>
      </c>
      <c r="H905" s="89" t="s">
        <v>25</v>
      </c>
      <c r="I905" s="226" t="s">
        <v>26</v>
      </c>
    </row>
    <row r="906" spans="2:12" ht="14.4" thickBot="1" x14ac:dyDescent="0.3">
      <c r="B906" s="166"/>
      <c r="C906" s="151" t="s">
        <v>206</v>
      </c>
      <c r="D906" s="84" t="s">
        <v>266</v>
      </c>
      <c r="E906" s="75" t="s">
        <v>22</v>
      </c>
      <c r="F906" s="140">
        <v>1</v>
      </c>
      <c r="G906" s="77">
        <v>1</v>
      </c>
      <c r="H906" s="139">
        <v>244.9</v>
      </c>
      <c r="I906" s="140">
        <f>F906*G906*H906</f>
        <v>244.9</v>
      </c>
      <c r="J906" s="104"/>
    </row>
    <row r="907" spans="2:12" ht="14.4" thickBot="1" x14ac:dyDescent="0.3">
      <c r="B907" s="328" t="s">
        <v>28</v>
      </c>
      <c r="C907" s="328"/>
      <c r="D907" s="141"/>
      <c r="E907" s="226" t="s">
        <v>22</v>
      </c>
      <c r="F907" s="226" t="s">
        <v>23</v>
      </c>
      <c r="G907" s="88" t="s">
        <v>24</v>
      </c>
      <c r="H907" s="89" t="s">
        <v>25</v>
      </c>
      <c r="I907" s="226" t="s">
        <v>26</v>
      </c>
    </row>
    <row r="908" spans="2:12" x14ac:dyDescent="0.25">
      <c r="B908" s="166">
        <v>88266</v>
      </c>
      <c r="C908" s="151" t="s">
        <v>1</v>
      </c>
      <c r="D908" s="84" t="s">
        <v>378</v>
      </c>
      <c r="E908" s="75" t="s">
        <v>2</v>
      </c>
      <c r="F908" s="140">
        <v>1</v>
      </c>
      <c r="G908" s="77">
        <v>0.35</v>
      </c>
      <c r="H908" s="139">
        <v>19.61</v>
      </c>
      <c r="I908" s="140">
        <f>F908*G908*H908</f>
        <v>6.8634999999999993</v>
      </c>
    </row>
    <row r="909" spans="2:12" ht="14.4" thickBot="1" x14ac:dyDescent="0.3">
      <c r="B909" s="166">
        <v>88264</v>
      </c>
      <c r="C909" s="151" t="s">
        <v>1</v>
      </c>
      <c r="D909" s="84" t="s">
        <v>3</v>
      </c>
      <c r="E909" s="75" t="s">
        <v>2</v>
      </c>
      <c r="F909" s="140">
        <v>1</v>
      </c>
      <c r="G909" s="77">
        <v>0.35</v>
      </c>
      <c r="H909" s="139">
        <v>19.53</v>
      </c>
      <c r="I909" s="140">
        <f>F909*G909*H909</f>
        <v>6.8354999999999997</v>
      </c>
    </row>
    <row r="910" spans="2:12" ht="14.4" thickBot="1" x14ac:dyDescent="0.3">
      <c r="B910" s="328" t="s">
        <v>29</v>
      </c>
      <c r="C910" s="328"/>
      <c r="D910" s="328"/>
      <c r="E910" s="328"/>
      <c r="F910" s="328"/>
      <c r="G910" s="328"/>
      <c r="H910" s="328"/>
      <c r="I910" s="296">
        <f>SUM(I906:I909)</f>
        <v>258.59899999999999</v>
      </c>
    </row>
    <row r="911" spans="2:12" s="90" customFormat="1" ht="10.199999999999999" x14ac:dyDescent="0.25">
      <c r="B911" s="166"/>
      <c r="C911" s="223" t="s">
        <v>30</v>
      </c>
      <c r="D911" s="90" t="s">
        <v>261</v>
      </c>
      <c r="E911" s="75"/>
      <c r="F911" s="75"/>
      <c r="G911" s="85"/>
      <c r="H911" s="139"/>
      <c r="I911" s="293"/>
      <c r="L911" s="85"/>
    </row>
    <row r="912" spans="2:12" x14ac:dyDescent="0.25">
      <c r="B912" s="166"/>
      <c r="C912" s="223"/>
      <c r="E912" s="75"/>
      <c r="F912" s="75"/>
      <c r="G912" s="85"/>
      <c r="H912" s="139"/>
      <c r="I912" s="295"/>
    </row>
    <row r="913" spans="2:12" ht="14.4" thickBot="1" x14ac:dyDescent="0.3">
      <c r="B913" s="166"/>
      <c r="C913" s="223"/>
      <c r="E913" s="75"/>
      <c r="F913" s="75"/>
      <c r="G913" s="85"/>
      <c r="H913" s="139"/>
      <c r="I913" s="292"/>
    </row>
    <row r="914" spans="2:12" ht="14.4" thickBot="1" x14ac:dyDescent="0.3">
      <c r="B914" s="330" t="s">
        <v>18</v>
      </c>
      <c r="C914" s="330"/>
      <c r="D914" s="331" t="s">
        <v>19</v>
      </c>
      <c r="E914" s="331"/>
      <c r="F914" s="331"/>
      <c r="G914" s="331"/>
      <c r="H914" s="331"/>
      <c r="I914" s="291" t="s">
        <v>20</v>
      </c>
    </row>
    <row r="915" spans="2:12" ht="14.4" thickBot="1" x14ac:dyDescent="0.3">
      <c r="B915" s="333" t="s">
        <v>607</v>
      </c>
      <c r="C915" s="333"/>
      <c r="D915" s="338" t="s">
        <v>270</v>
      </c>
      <c r="E915" s="338"/>
      <c r="F915" s="338"/>
      <c r="G915" s="338"/>
      <c r="H915" s="338"/>
      <c r="I915" s="80" t="s">
        <v>472</v>
      </c>
    </row>
    <row r="916" spans="2:12" ht="14.4" thickBot="1" x14ac:dyDescent="0.3">
      <c r="B916" s="328" t="s">
        <v>21</v>
      </c>
      <c r="C916" s="328"/>
      <c r="D916" s="141"/>
      <c r="E916" s="226" t="s">
        <v>22</v>
      </c>
      <c r="F916" s="226" t="s">
        <v>23</v>
      </c>
      <c r="G916" s="88" t="s">
        <v>24</v>
      </c>
      <c r="H916" s="89" t="s">
        <v>25</v>
      </c>
      <c r="I916" s="226" t="s">
        <v>26</v>
      </c>
    </row>
    <row r="917" spans="2:12" ht="21" thickBot="1" x14ac:dyDescent="0.3">
      <c r="B917" s="166">
        <v>37557</v>
      </c>
      <c r="C917" s="151" t="s">
        <v>1</v>
      </c>
      <c r="D917" s="84" t="s">
        <v>271</v>
      </c>
      <c r="E917" s="75" t="s">
        <v>22</v>
      </c>
      <c r="F917" s="140">
        <v>1</v>
      </c>
      <c r="G917" s="77">
        <v>1</v>
      </c>
      <c r="H917" s="139">
        <v>12.77</v>
      </c>
      <c r="I917" s="140">
        <f>F917*G917*H917</f>
        <v>12.77</v>
      </c>
    </row>
    <row r="918" spans="2:12" ht="14.4" thickBot="1" x14ac:dyDescent="0.3">
      <c r="B918" s="328" t="s">
        <v>28</v>
      </c>
      <c r="C918" s="328"/>
      <c r="D918" s="141"/>
      <c r="E918" s="226" t="s">
        <v>22</v>
      </c>
      <c r="F918" s="226" t="s">
        <v>23</v>
      </c>
      <c r="G918" s="88" t="s">
        <v>24</v>
      </c>
      <c r="H918" s="89" t="s">
        <v>25</v>
      </c>
      <c r="I918" s="226" t="s">
        <v>26</v>
      </c>
    </row>
    <row r="919" spans="2:12" ht="14.4" thickBot="1" x14ac:dyDescent="0.3">
      <c r="B919" s="166">
        <v>88316</v>
      </c>
      <c r="C919" s="151" t="s">
        <v>1</v>
      </c>
      <c r="D919" s="84" t="s">
        <v>43</v>
      </c>
      <c r="E919" s="75" t="s">
        <v>2</v>
      </c>
      <c r="F919" s="140">
        <v>1</v>
      </c>
      <c r="G919" s="77">
        <v>0.2</v>
      </c>
      <c r="H919" s="139">
        <v>15.16</v>
      </c>
      <c r="I919" s="140">
        <f>F919*G919*H919</f>
        <v>3.032</v>
      </c>
    </row>
    <row r="920" spans="2:12" ht="14.4" thickBot="1" x14ac:dyDescent="0.3">
      <c r="B920" s="328" t="s">
        <v>29</v>
      </c>
      <c r="C920" s="328"/>
      <c r="D920" s="328"/>
      <c r="E920" s="328"/>
      <c r="F920" s="328"/>
      <c r="G920" s="328"/>
      <c r="H920" s="328"/>
      <c r="I920" s="296">
        <f>SUM(I917:I919)</f>
        <v>15.802</v>
      </c>
    </row>
    <row r="921" spans="2:12" s="90" customFormat="1" ht="10.199999999999999" x14ac:dyDescent="0.25">
      <c r="B921" s="166"/>
      <c r="C921" s="223" t="s">
        <v>30</v>
      </c>
      <c r="D921" s="90" t="s">
        <v>269</v>
      </c>
      <c r="E921" s="75"/>
      <c r="F921" s="75"/>
      <c r="G921" s="85"/>
      <c r="H921" s="139"/>
      <c r="I921" s="293"/>
      <c r="L921" s="85"/>
    </row>
    <row r="922" spans="2:12" x14ac:dyDescent="0.25">
      <c r="B922" s="166"/>
      <c r="C922" s="223"/>
      <c r="E922" s="75"/>
      <c r="F922" s="75"/>
      <c r="G922" s="85"/>
      <c r="H922" s="139"/>
      <c r="I922" s="295"/>
    </row>
    <row r="923" spans="2:12" ht="14.4" thickBot="1" x14ac:dyDescent="0.3">
      <c r="B923" s="166"/>
      <c r="C923" s="223"/>
      <c r="E923" s="75"/>
      <c r="F923" s="75"/>
      <c r="G923" s="85"/>
      <c r="H923" s="139"/>
      <c r="I923" s="292"/>
    </row>
    <row r="924" spans="2:12" ht="14.4" thickBot="1" x14ac:dyDescent="0.3">
      <c r="B924" s="330" t="s">
        <v>18</v>
      </c>
      <c r="C924" s="330"/>
      <c r="D924" s="331" t="s">
        <v>19</v>
      </c>
      <c r="E924" s="331"/>
      <c r="F924" s="331"/>
      <c r="G924" s="331"/>
      <c r="H924" s="331"/>
      <c r="I924" s="291" t="s">
        <v>20</v>
      </c>
    </row>
    <row r="925" spans="2:12" ht="14.4" thickBot="1" x14ac:dyDescent="0.3">
      <c r="B925" s="333" t="s">
        <v>617</v>
      </c>
      <c r="C925" s="333"/>
      <c r="D925" s="338" t="s">
        <v>377</v>
      </c>
      <c r="E925" s="338"/>
      <c r="F925" s="338"/>
      <c r="G925" s="338"/>
      <c r="H925" s="338"/>
      <c r="I925" s="80" t="s">
        <v>472</v>
      </c>
    </row>
    <row r="926" spans="2:12" ht="14.4" thickBot="1" x14ac:dyDescent="0.3">
      <c r="B926" s="328" t="s">
        <v>21</v>
      </c>
      <c r="C926" s="328"/>
      <c r="D926" s="141"/>
      <c r="E926" s="226" t="s">
        <v>22</v>
      </c>
      <c r="F926" s="226" t="s">
        <v>23</v>
      </c>
      <c r="G926" s="88" t="s">
        <v>24</v>
      </c>
      <c r="H926" s="89" t="s">
        <v>25</v>
      </c>
      <c r="I926" s="226" t="s">
        <v>26</v>
      </c>
    </row>
    <row r="927" spans="2:12" ht="14.4" thickBot="1" x14ac:dyDescent="0.3">
      <c r="B927" s="166"/>
      <c r="C927" s="151" t="s">
        <v>206</v>
      </c>
      <c r="D927" s="84" t="s">
        <v>380</v>
      </c>
      <c r="E927" s="75" t="s">
        <v>22</v>
      </c>
      <c r="F927" s="140">
        <v>1</v>
      </c>
      <c r="G927" s="77">
        <v>1</v>
      </c>
      <c r="H927" s="139">
        <v>495.49</v>
      </c>
      <c r="I927" s="140">
        <f>F927*G927*H927</f>
        <v>495.49</v>
      </c>
      <c r="J927" s="104"/>
    </row>
    <row r="928" spans="2:12" ht="14.4" thickBot="1" x14ac:dyDescent="0.3">
      <c r="B928" s="328" t="s">
        <v>28</v>
      </c>
      <c r="C928" s="328"/>
      <c r="D928" s="141"/>
      <c r="E928" s="226" t="s">
        <v>22</v>
      </c>
      <c r="F928" s="226" t="s">
        <v>23</v>
      </c>
      <c r="G928" s="88" t="s">
        <v>24</v>
      </c>
      <c r="H928" s="89" t="s">
        <v>25</v>
      </c>
      <c r="I928" s="226" t="s">
        <v>26</v>
      </c>
    </row>
    <row r="929" spans="2:12" ht="14.4" thickBot="1" x14ac:dyDescent="0.3">
      <c r="B929" s="166">
        <v>88264</v>
      </c>
      <c r="C929" s="151" t="s">
        <v>1</v>
      </c>
      <c r="D929" s="84" t="s">
        <v>3</v>
      </c>
      <c r="E929" s="75" t="s">
        <v>2</v>
      </c>
      <c r="F929" s="140">
        <v>1</v>
      </c>
      <c r="G929" s="77">
        <v>6.63</v>
      </c>
      <c r="H929" s="139">
        <v>19.53</v>
      </c>
      <c r="I929" s="140">
        <f>F929*G929*H929</f>
        <v>129.48390000000001</v>
      </c>
    </row>
    <row r="930" spans="2:12" ht="14.4" thickBot="1" x14ac:dyDescent="0.3">
      <c r="B930" s="328" t="s">
        <v>29</v>
      </c>
      <c r="C930" s="328"/>
      <c r="D930" s="328"/>
      <c r="E930" s="328"/>
      <c r="F930" s="328"/>
      <c r="G930" s="328"/>
      <c r="H930" s="328"/>
      <c r="I930" s="296">
        <f>SUM(I927:I929)</f>
        <v>624.97389999999996</v>
      </c>
    </row>
    <row r="931" spans="2:12" s="90" customFormat="1" ht="10.199999999999999" x14ac:dyDescent="0.25">
      <c r="B931" s="166"/>
      <c r="C931" s="223" t="s">
        <v>30</v>
      </c>
      <c r="D931" s="90" t="s">
        <v>379</v>
      </c>
      <c r="E931" s="75"/>
      <c r="F931" s="75"/>
      <c r="G931" s="85"/>
      <c r="H931" s="139"/>
      <c r="I931" s="293"/>
      <c r="L931" s="85"/>
    </row>
    <row r="932" spans="2:12" x14ac:dyDescent="0.25">
      <c r="B932" s="166"/>
      <c r="C932" s="223"/>
      <c r="E932" s="75"/>
      <c r="F932" s="75"/>
      <c r="G932" s="85"/>
      <c r="H932" s="139"/>
      <c r="I932" s="295"/>
    </row>
    <row r="933" spans="2:12" ht="14.4" thickBot="1" x14ac:dyDescent="0.3">
      <c r="B933" s="166"/>
      <c r="C933" s="223"/>
      <c r="E933" s="75"/>
      <c r="F933" s="75"/>
      <c r="G933" s="85"/>
      <c r="H933" s="139"/>
      <c r="I933" s="292"/>
    </row>
    <row r="934" spans="2:12" ht="14.4" thickBot="1" x14ac:dyDescent="0.3">
      <c r="B934" s="330" t="s">
        <v>18</v>
      </c>
      <c r="C934" s="330"/>
      <c r="D934" s="331" t="s">
        <v>19</v>
      </c>
      <c r="E934" s="331"/>
      <c r="F934" s="331"/>
      <c r="G934" s="331"/>
      <c r="H934" s="331"/>
      <c r="I934" s="291" t="s">
        <v>20</v>
      </c>
    </row>
    <row r="935" spans="2:12" ht="14.4" thickBot="1" x14ac:dyDescent="0.3">
      <c r="B935" s="333" t="s">
        <v>623</v>
      </c>
      <c r="C935" s="333"/>
      <c r="D935" s="338" t="s">
        <v>387</v>
      </c>
      <c r="E935" s="338"/>
      <c r="F935" s="338"/>
      <c r="G935" s="338"/>
      <c r="H935" s="338"/>
      <c r="I935" s="80" t="s">
        <v>472</v>
      </c>
    </row>
    <row r="936" spans="2:12" ht="14.4" thickBot="1" x14ac:dyDescent="0.3">
      <c r="B936" s="328" t="s">
        <v>21</v>
      </c>
      <c r="C936" s="328"/>
      <c r="D936" s="141"/>
      <c r="E936" s="226" t="s">
        <v>22</v>
      </c>
      <c r="F936" s="226" t="s">
        <v>23</v>
      </c>
      <c r="G936" s="88" t="s">
        <v>24</v>
      </c>
      <c r="H936" s="89" t="s">
        <v>25</v>
      </c>
      <c r="I936" s="226" t="s">
        <v>26</v>
      </c>
    </row>
    <row r="937" spans="2:12" ht="14.4" thickBot="1" x14ac:dyDescent="0.3">
      <c r="B937" s="166">
        <v>12664</v>
      </c>
      <c r="C937" s="151" t="s">
        <v>9</v>
      </c>
      <c r="D937" s="84" t="s">
        <v>383</v>
      </c>
      <c r="E937" s="75" t="s">
        <v>22</v>
      </c>
      <c r="F937" s="140">
        <v>1</v>
      </c>
      <c r="G937" s="77">
        <v>1</v>
      </c>
      <c r="H937" s="139">
        <v>126.63</v>
      </c>
      <c r="I937" s="140">
        <f>F937*G937*H937</f>
        <v>126.63</v>
      </c>
    </row>
    <row r="938" spans="2:12" ht="14.25" customHeight="1" thickBot="1" x14ac:dyDescent="0.3">
      <c r="B938" s="328" t="s">
        <v>28</v>
      </c>
      <c r="C938" s="328"/>
      <c r="D938" s="141"/>
      <c r="E938" s="226" t="s">
        <v>22</v>
      </c>
      <c r="F938" s="226" t="s">
        <v>23</v>
      </c>
      <c r="G938" s="88" t="s">
        <v>24</v>
      </c>
      <c r="H938" s="89" t="s">
        <v>25</v>
      </c>
      <c r="I938" s="226" t="s">
        <v>26</v>
      </c>
    </row>
    <row r="939" spans="2:12" x14ac:dyDescent="0.25">
      <c r="B939" s="166">
        <v>88247</v>
      </c>
      <c r="C939" s="151" t="s">
        <v>1</v>
      </c>
      <c r="D939" s="84" t="s">
        <v>95</v>
      </c>
      <c r="E939" s="75" t="s">
        <v>2</v>
      </c>
      <c r="F939" s="140">
        <v>1</v>
      </c>
      <c r="G939" s="77">
        <v>0.5</v>
      </c>
      <c r="H939" s="139">
        <v>15.19</v>
      </c>
      <c r="I939" s="140">
        <f>F939*G939*H939</f>
        <v>7.5949999999999998</v>
      </c>
    </row>
    <row r="940" spans="2:12" ht="14.4" thickBot="1" x14ac:dyDescent="0.3">
      <c r="B940" s="166">
        <v>88264</v>
      </c>
      <c r="C940" s="151" t="s">
        <v>1</v>
      </c>
      <c r="D940" s="84" t="s">
        <v>3</v>
      </c>
      <c r="E940" s="75" t="s">
        <v>2</v>
      </c>
      <c r="F940" s="140">
        <v>1</v>
      </c>
      <c r="G940" s="77">
        <v>0.5</v>
      </c>
      <c r="H940" s="139">
        <v>19.53</v>
      </c>
      <c r="I940" s="140">
        <f>F940*G940*H940</f>
        <v>9.7650000000000006</v>
      </c>
    </row>
    <row r="941" spans="2:12" ht="14.4" thickBot="1" x14ac:dyDescent="0.3">
      <c r="B941" s="328" t="s">
        <v>29</v>
      </c>
      <c r="C941" s="328"/>
      <c r="D941" s="328"/>
      <c r="E941" s="328"/>
      <c r="F941" s="328"/>
      <c r="G941" s="328"/>
      <c r="H941" s="328"/>
      <c r="I941" s="296">
        <f>SUM(I937:I940)</f>
        <v>143.99</v>
      </c>
    </row>
    <row r="942" spans="2:12" s="90" customFormat="1" ht="10.199999999999999" x14ac:dyDescent="0.25">
      <c r="B942" s="166"/>
      <c r="C942" s="223" t="s">
        <v>30</v>
      </c>
      <c r="D942" s="90" t="s">
        <v>384</v>
      </c>
      <c r="E942" s="75"/>
      <c r="F942" s="75"/>
      <c r="G942" s="85"/>
      <c r="H942" s="139"/>
      <c r="I942" s="293"/>
      <c r="L942" s="85"/>
    </row>
    <row r="943" spans="2:12" x14ac:dyDescent="0.25">
      <c r="B943" s="166"/>
      <c r="C943" s="223"/>
      <c r="E943" s="75"/>
      <c r="F943" s="75"/>
      <c r="G943" s="85"/>
      <c r="H943" s="139"/>
      <c r="I943" s="295"/>
    </row>
    <row r="944" spans="2:12" ht="14.4" thickBot="1" x14ac:dyDescent="0.3">
      <c r="B944" s="166"/>
      <c r="C944" s="223"/>
      <c r="E944" s="75"/>
      <c r="F944" s="75"/>
      <c r="G944" s="85"/>
      <c r="H944" s="139"/>
      <c r="I944" s="292"/>
    </row>
    <row r="945" spans="2:12" ht="14.4" thickBot="1" x14ac:dyDescent="0.3">
      <c r="B945" s="330" t="s">
        <v>18</v>
      </c>
      <c r="C945" s="330"/>
      <c r="D945" s="331" t="s">
        <v>19</v>
      </c>
      <c r="E945" s="331"/>
      <c r="F945" s="331"/>
      <c r="G945" s="331"/>
      <c r="H945" s="331"/>
      <c r="I945" s="291" t="s">
        <v>20</v>
      </c>
    </row>
    <row r="946" spans="2:12" ht="14.4" thickBot="1" x14ac:dyDescent="0.3">
      <c r="B946" s="333" t="s">
        <v>636</v>
      </c>
      <c r="C946" s="333"/>
      <c r="D946" s="338" t="s">
        <v>386</v>
      </c>
      <c r="E946" s="338"/>
      <c r="F946" s="338"/>
      <c r="G946" s="338"/>
      <c r="H946" s="338"/>
      <c r="I946" s="80" t="s">
        <v>472</v>
      </c>
    </row>
    <row r="947" spans="2:12" ht="14.4" thickBot="1" x14ac:dyDescent="0.3">
      <c r="B947" s="328" t="s">
        <v>21</v>
      </c>
      <c r="C947" s="328"/>
      <c r="D947" s="141"/>
      <c r="E947" s="226" t="s">
        <v>22</v>
      </c>
      <c r="F947" s="226" t="s">
        <v>23</v>
      </c>
      <c r="G947" s="88" t="s">
        <v>24</v>
      </c>
      <c r="H947" s="89" t="s">
        <v>25</v>
      </c>
      <c r="I947" s="226" t="s">
        <v>26</v>
      </c>
    </row>
    <row r="948" spans="2:12" ht="14.4" thickBot="1" x14ac:dyDescent="0.3">
      <c r="B948" s="166">
        <v>10446</v>
      </c>
      <c r="C948" s="151" t="s">
        <v>9</v>
      </c>
      <c r="D948" s="84" t="s">
        <v>388</v>
      </c>
      <c r="E948" s="75" t="s">
        <v>22</v>
      </c>
      <c r="F948" s="140">
        <v>1</v>
      </c>
      <c r="G948" s="77">
        <v>1</v>
      </c>
      <c r="H948" s="139">
        <v>265.54000000000002</v>
      </c>
      <c r="I948" s="140">
        <f>F948*G948*H948</f>
        <v>265.54000000000002</v>
      </c>
    </row>
    <row r="949" spans="2:12" ht="14.4" thickBot="1" x14ac:dyDescent="0.3">
      <c r="B949" s="328" t="s">
        <v>28</v>
      </c>
      <c r="C949" s="328"/>
      <c r="D949" s="141"/>
      <c r="E949" s="226" t="s">
        <v>22</v>
      </c>
      <c r="F949" s="226" t="s">
        <v>23</v>
      </c>
      <c r="G949" s="88" t="s">
        <v>24</v>
      </c>
      <c r="H949" s="89" t="s">
        <v>25</v>
      </c>
      <c r="I949" s="226" t="s">
        <v>26</v>
      </c>
    </row>
    <row r="950" spans="2:12" x14ac:dyDescent="0.25">
      <c r="B950" s="166">
        <v>88247</v>
      </c>
      <c r="C950" s="151" t="s">
        <v>1</v>
      </c>
      <c r="D950" s="84" t="s">
        <v>95</v>
      </c>
      <c r="E950" s="75" t="s">
        <v>2</v>
      </c>
      <c r="F950" s="140">
        <v>1</v>
      </c>
      <c r="G950" s="77">
        <v>0.5</v>
      </c>
      <c r="H950" s="139">
        <v>15.19</v>
      </c>
      <c r="I950" s="140">
        <f>F950*G950*H950</f>
        <v>7.5949999999999998</v>
      </c>
    </row>
    <row r="951" spans="2:12" ht="14.4" thickBot="1" x14ac:dyDescent="0.3">
      <c r="B951" s="166">
        <v>88264</v>
      </c>
      <c r="C951" s="151" t="s">
        <v>1</v>
      </c>
      <c r="D951" s="84" t="s">
        <v>3</v>
      </c>
      <c r="E951" s="75" t="s">
        <v>2</v>
      </c>
      <c r="F951" s="140">
        <v>1</v>
      </c>
      <c r="G951" s="77">
        <v>0.5</v>
      </c>
      <c r="H951" s="139">
        <v>19.53</v>
      </c>
      <c r="I951" s="140">
        <f>F951*G951*H951</f>
        <v>9.7650000000000006</v>
      </c>
    </row>
    <row r="952" spans="2:12" ht="14.4" thickBot="1" x14ac:dyDescent="0.3">
      <c r="B952" s="328" t="s">
        <v>29</v>
      </c>
      <c r="C952" s="328"/>
      <c r="D952" s="328"/>
      <c r="E952" s="328"/>
      <c r="F952" s="328"/>
      <c r="G952" s="328"/>
      <c r="H952" s="328"/>
      <c r="I952" s="296">
        <f>SUM(I948:I951)</f>
        <v>282.90000000000003</v>
      </c>
    </row>
    <row r="953" spans="2:12" s="90" customFormat="1" ht="10.199999999999999" x14ac:dyDescent="0.25">
      <c r="B953" s="166"/>
      <c r="C953" s="223" t="s">
        <v>30</v>
      </c>
      <c r="D953" s="90" t="s">
        <v>384</v>
      </c>
      <c r="E953" s="75"/>
      <c r="F953" s="75"/>
      <c r="G953" s="85"/>
      <c r="H953" s="139"/>
      <c r="I953" s="293"/>
      <c r="L953" s="85"/>
    </row>
    <row r="954" spans="2:12" x14ac:dyDescent="0.25">
      <c r="B954" s="166"/>
      <c r="C954" s="223"/>
      <c r="E954" s="75"/>
      <c r="F954" s="75"/>
      <c r="G954" s="85"/>
      <c r="H954" s="139"/>
      <c r="I954" s="295"/>
    </row>
    <row r="955" spans="2:12" ht="14.4" thickBot="1" x14ac:dyDescent="0.3">
      <c r="B955" s="166"/>
      <c r="C955" s="223"/>
      <c r="E955" s="75"/>
      <c r="F955" s="75"/>
      <c r="G955" s="85"/>
      <c r="H955" s="139"/>
      <c r="I955" s="292"/>
    </row>
    <row r="956" spans="2:12" ht="14.4" thickBot="1" x14ac:dyDescent="0.3">
      <c r="B956" s="330" t="s">
        <v>18</v>
      </c>
      <c r="C956" s="330"/>
      <c r="D956" s="331" t="s">
        <v>19</v>
      </c>
      <c r="E956" s="331"/>
      <c r="F956" s="331"/>
      <c r="G956" s="331"/>
      <c r="H956" s="331"/>
      <c r="I956" s="291" t="s">
        <v>20</v>
      </c>
    </row>
    <row r="957" spans="2:12" ht="14.4" thickBot="1" x14ac:dyDescent="0.3">
      <c r="B957" s="333" t="s">
        <v>653</v>
      </c>
      <c r="C957" s="333"/>
      <c r="D957" s="338" t="s">
        <v>392</v>
      </c>
      <c r="E957" s="338"/>
      <c r="F957" s="338"/>
      <c r="G957" s="338"/>
      <c r="H957" s="338"/>
      <c r="I957" s="80" t="s">
        <v>472</v>
      </c>
    </row>
    <row r="958" spans="2:12" ht="14.4" thickBot="1" x14ac:dyDescent="0.3">
      <c r="B958" s="328" t="s">
        <v>21</v>
      </c>
      <c r="C958" s="328"/>
      <c r="D958" s="141"/>
      <c r="E958" s="226" t="s">
        <v>22</v>
      </c>
      <c r="F958" s="226" t="s">
        <v>23</v>
      </c>
      <c r="G958" s="88" t="s">
        <v>24</v>
      </c>
      <c r="H958" s="89" t="s">
        <v>25</v>
      </c>
      <c r="I958" s="226" t="s">
        <v>26</v>
      </c>
    </row>
    <row r="959" spans="2:12" ht="14.4" thickBot="1" x14ac:dyDescent="0.3">
      <c r="B959" s="166"/>
      <c r="C959" s="151" t="s">
        <v>206</v>
      </c>
      <c r="D959" s="84" t="s">
        <v>393</v>
      </c>
      <c r="E959" s="75" t="s">
        <v>22</v>
      </c>
      <c r="F959" s="140">
        <v>1</v>
      </c>
      <c r="G959" s="77">
        <v>1</v>
      </c>
      <c r="H959" s="139">
        <v>475.21</v>
      </c>
      <c r="I959" s="140">
        <f>F959*G959*H959</f>
        <v>475.21</v>
      </c>
      <c r="J959" s="104"/>
    </row>
    <row r="960" spans="2:12" ht="14.4" thickBot="1" x14ac:dyDescent="0.3">
      <c r="B960" s="328" t="s">
        <v>28</v>
      </c>
      <c r="C960" s="328"/>
      <c r="D960" s="141"/>
      <c r="E960" s="226" t="s">
        <v>22</v>
      </c>
      <c r="F960" s="226" t="s">
        <v>23</v>
      </c>
      <c r="G960" s="88" t="s">
        <v>24</v>
      </c>
      <c r="H960" s="89" t="s">
        <v>25</v>
      </c>
      <c r="I960" s="226" t="s">
        <v>26</v>
      </c>
    </row>
    <row r="961" spans="2:12" x14ac:dyDescent="0.25">
      <c r="B961" s="166">
        <v>88247</v>
      </c>
      <c r="C961" s="151" t="s">
        <v>1</v>
      </c>
      <c r="D961" s="84" t="s">
        <v>95</v>
      </c>
      <c r="E961" s="75" t="s">
        <v>2</v>
      </c>
      <c r="F961" s="140">
        <v>1</v>
      </c>
      <c r="G961" s="77">
        <v>0.5</v>
      </c>
      <c r="H961" s="139">
        <v>15.19</v>
      </c>
      <c r="I961" s="140">
        <f>F961*G961*H961</f>
        <v>7.5949999999999998</v>
      </c>
    </row>
    <row r="962" spans="2:12" ht="14.4" thickBot="1" x14ac:dyDescent="0.3">
      <c r="B962" s="166">
        <v>88264</v>
      </c>
      <c r="C962" s="151" t="s">
        <v>1</v>
      </c>
      <c r="D962" s="84" t="s">
        <v>3</v>
      </c>
      <c r="E962" s="75" t="s">
        <v>2</v>
      </c>
      <c r="F962" s="140">
        <v>1</v>
      </c>
      <c r="G962" s="77">
        <v>0.5</v>
      </c>
      <c r="H962" s="139">
        <v>19.53</v>
      </c>
      <c r="I962" s="140">
        <f>F962*G962*H962</f>
        <v>9.7650000000000006</v>
      </c>
    </row>
    <row r="963" spans="2:12" ht="14.4" thickBot="1" x14ac:dyDescent="0.3">
      <c r="B963" s="328" t="s">
        <v>29</v>
      </c>
      <c r="C963" s="328"/>
      <c r="D963" s="328"/>
      <c r="E963" s="328"/>
      <c r="F963" s="328"/>
      <c r="G963" s="328"/>
      <c r="H963" s="328"/>
      <c r="I963" s="296">
        <f>SUM(I959:I962)</f>
        <v>492.57</v>
      </c>
    </row>
    <row r="964" spans="2:12" s="90" customFormat="1" ht="10.199999999999999" x14ac:dyDescent="0.25">
      <c r="B964" s="166"/>
      <c r="C964" s="223" t="s">
        <v>30</v>
      </c>
      <c r="D964" s="90" t="s">
        <v>384</v>
      </c>
      <c r="E964" s="75"/>
      <c r="F964" s="75"/>
      <c r="G964" s="85"/>
      <c r="H964" s="139"/>
      <c r="I964" s="293"/>
      <c r="L964" s="85"/>
    </row>
    <row r="965" spans="2:12" x14ac:dyDescent="0.25">
      <c r="B965" s="166"/>
      <c r="C965" s="223"/>
      <c r="E965" s="75"/>
      <c r="F965" s="75"/>
      <c r="G965" s="85"/>
      <c r="H965" s="139"/>
      <c r="I965" s="295"/>
    </row>
    <row r="966" spans="2:12" ht="14.4" thickBot="1" x14ac:dyDescent="0.3">
      <c r="B966" s="166"/>
      <c r="C966" s="223"/>
      <c r="E966" s="75"/>
      <c r="F966" s="75"/>
      <c r="G966" s="85"/>
      <c r="H966" s="139"/>
      <c r="I966" s="292"/>
    </row>
    <row r="967" spans="2:12" ht="14.4" thickBot="1" x14ac:dyDescent="0.3">
      <c r="B967" s="330" t="s">
        <v>18</v>
      </c>
      <c r="C967" s="330"/>
      <c r="D967" s="331" t="s">
        <v>19</v>
      </c>
      <c r="E967" s="331"/>
      <c r="F967" s="331"/>
      <c r="G967" s="331"/>
      <c r="H967" s="331"/>
      <c r="I967" s="291" t="s">
        <v>20</v>
      </c>
    </row>
    <row r="968" spans="2:12" ht="14.4" thickBot="1" x14ac:dyDescent="0.3">
      <c r="B968" s="333" t="s">
        <v>657</v>
      </c>
      <c r="C968" s="333"/>
      <c r="D968" s="338" t="s">
        <v>400</v>
      </c>
      <c r="E968" s="338"/>
      <c r="F968" s="338"/>
      <c r="G968" s="338"/>
      <c r="H968" s="338"/>
      <c r="I968" s="80" t="s">
        <v>472</v>
      </c>
    </row>
    <row r="969" spans="2:12" ht="14.4" thickBot="1" x14ac:dyDescent="0.3">
      <c r="B969" s="328" t="s">
        <v>21</v>
      </c>
      <c r="C969" s="328"/>
      <c r="D969" s="141"/>
      <c r="E969" s="226" t="s">
        <v>22</v>
      </c>
      <c r="F969" s="226" t="s">
        <v>23</v>
      </c>
      <c r="G969" s="88" t="s">
        <v>24</v>
      </c>
      <c r="H969" s="89" t="s">
        <v>25</v>
      </c>
      <c r="I969" s="226" t="s">
        <v>26</v>
      </c>
    </row>
    <row r="970" spans="2:12" ht="14.4" thickBot="1" x14ac:dyDescent="0.3">
      <c r="B970" s="166">
        <v>12017</v>
      </c>
      <c r="C970" s="151" t="s">
        <v>9</v>
      </c>
      <c r="D970" s="84" t="s">
        <v>397</v>
      </c>
      <c r="E970" s="75" t="s">
        <v>22</v>
      </c>
      <c r="F970" s="140">
        <v>1</v>
      </c>
      <c r="G970" s="77">
        <v>1</v>
      </c>
      <c r="H970" s="139">
        <v>1576.25</v>
      </c>
      <c r="I970" s="140">
        <f>F970*G970*H970</f>
        <v>1576.25</v>
      </c>
    </row>
    <row r="971" spans="2:12" ht="14.4" thickBot="1" x14ac:dyDescent="0.3">
      <c r="B971" s="328" t="s">
        <v>28</v>
      </c>
      <c r="C971" s="328"/>
      <c r="D971" s="141"/>
      <c r="E971" s="226" t="s">
        <v>22</v>
      </c>
      <c r="F971" s="226" t="s">
        <v>23</v>
      </c>
      <c r="G971" s="88" t="s">
        <v>24</v>
      </c>
      <c r="H971" s="89" t="s">
        <v>25</v>
      </c>
      <c r="I971" s="226" t="s">
        <v>26</v>
      </c>
    </row>
    <row r="972" spans="2:12" x14ac:dyDescent="0.25">
      <c r="B972" s="166">
        <v>88267</v>
      </c>
      <c r="C972" s="151" t="s">
        <v>1</v>
      </c>
      <c r="D972" s="84" t="s">
        <v>253</v>
      </c>
      <c r="E972" s="75" t="s">
        <v>2</v>
      </c>
      <c r="F972" s="140">
        <v>1</v>
      </c>
      <c r="G972" s="77">
        <v>1</v>
      </c>
      <c r="H972" s="139">
        <v>18.72</v>
      </c>
      <c r="I972" s="140">
        <f>F972*G972*H972</f>
        <v>18.72</v>
      </c>
    </row>
    <row r="973" spans="2:12" x14ac:dyDescent="0.25">
      <c r="B973" s="166">
        <v>88247</v>
      </c>
      <c r="C973" s="151" t="s">
        <v>1</v>
      </c>
      <c r="D973" s="84" t="s">
        <v>95</v>
      </c>
      <c r="E973" s="75" t="s">
        <v>2</v>
      </c>
      <c r="F973" s="140">
        <v>1</v>
      </c>
      <c r="G973" s="77">
        <v>2</v>
      </c>
      <c r="H973" s="139">
        <v>15.19</v>
      </c>
      <c r="I973" s="140">
        <f>F973*G973*H973</f>
        <v>30.38</v>
      </c>
    </row>
    <row r="974" spans="2:12" ht="14.4" thickBot="1" x14ac:dyDescent="0.3">
      <c r="B974" s="166">
        <v>88264</v>
      </c>
      <c r="C974" s="151" t="s">
        <v>1</v>
      </c>
      <c r="D974" s="84" t="s">
        <v>3</v>
      </c>
      <c r="E974" s="75" t="s">
        <v>2</v>
      </c>
      <c r="F974" s="140">
        <v>1</v>
      </c>
      <c r="G974" s="77">
        <v>1</v>
      </c>
      <c r="H974" s="139">
        <v>19.53</v>
      </c>
      <c r="I974" s="140">
        <f>F974*G974*H974</f>
        <v>19.53</v>
      </c>
    </row>
    <row r="975" spans="2:12" ht="14.4" thickBot="1" x14ac:dyDescent="0.3">
      <c r="B975" s="328" t="s">
        <v>29</v>
      </c>
      <c r="C975" s="328"/>
      <c r="D975" s="328"/>
      <c r="E975" s="328"/>
      <c r="F975" s="328"/>
      <c r="G975" s="328"/>
      <c r="H975" s="328"/>
      <c r="I975" s="296">
        <f>SUM(I970:I974)</f>
        <v>1644.88</v>
      </c>
    </row>
    <row r="976" spans="2:12" s="90" customFormat="1" ht="10.199999999999999" x14ac:dyDescent="0.25">
      <c r="B976" s="166"/>
      <c r="C976" s="223" t="s">
        <v>30</v>
      </c>
      <c r="D976" s="90" t="s">
        <v>399</v>
      </c>
      <c r="E976" s="75"/>
      <c r="F976" s="75"/>
      <c r="G976" s="85"/>
      <c r="H976" s="139"/>
      <c r="I976" s="293"/>
      <c r="L976" s="85"/>
    </row>
    <row r="977" spans="2:10" x14ac:dyDescent="0.25">
      <c r="B977" s="166"/>
      <c r="C977" s="223"/>
      <c r="E977" s="75"/>
      <c r="F977" s="75"/>
      <c r="G977" s="85"/>
      <c r="H977" s="139"/>
      <c r="I977" s="295"/>
    </row>
    <row r="978" spans="2:10" ht="14.4" thickBot="1" x14ac:dyDescent="0.3">
      <c r="B978" s="166"/>
      <c r="C978" s="223"/>
      <c r="E978" s="75"/>
      <c r="F978" s="75"/>
      <c r="G978" s="85"/>
      <c r="H978" s="139"/>
      <c r="I978" s="292"/>
    </row>
    <row r="979" spans="2:10" ht="14.4" thickBot="1" x14ac:dyDescent="0.3">
      <c r="B979" s="330" t="s">
        <v>18</v>
      </c>
      <c r="C979" s="330"/>
      <c r="D979" s="331" t="s">
        <v>19</v>
      </c>
      <c r="E979" s="331"/>
      <c r="F979" s="331"/>
      <c r="G979" s="331"/>
      <c r="H979" s="331"/>
      <c r="I979" s="291" t="s">
        <v>20</v>
      </c>
    </row>
    <row r="980" spans="2:10" ht="14.4" thickBot="1" x14ac:dyDescent="0.3">
      <c r="B980" s="329" t="s">
        <v>660</v>
      </c>
      <c r="C980" s="329"/>
      <c r="D980" s="332" t="s">
        <v>730</v>
      </c>
      <c r="E980" s="332"/>
      <c r="F980" s="332"/>
      <c r="G980" s="332"/>
      <c r="H980" s="332"/>
      <c r="I980" s="80" t="s">
        <v>472</v>
      </c>
    </row>
    <row r="981" spans="2:10" ht="14.4" thickBot="1" x14ac:dyDescent="0.3">
      <c r="B981" s="328" t="s">
        <v>21</v>
      </c>
      <c r="C981" s="328"/>
      <c r="D981" s="141"/>
      <c r="E981" s="226" t="s">
        <v>22</v>
      </c>
      <c r="F981" s="226" t="s">
        <v>23</v>
      </c>
      <c r="G981" s="88" t="s">
        <v>24</v>
      </c>
      <c r="H981" s="89" t="s">
        <v>25</v>
      </c>
      <c r="I981" s="226" t="s">
        <v>26</v>
      </c>
    </row>
    <row r="982" spans="2:10" ht="20.399999999999999" x14ac:dyDescent="0.25">
      <c r="B982" s="166">
        <v>12344</v>
      </c>
      <c r="C982" s="151" t="s">
        <v>1</v>
      </c>
      <c r="D982" s="84" t="s">
        <v>403</v>
      </c>
      <c r="E982" s="75" t="s">
        <v>22</v>
      </c>
      <c r="F982" s="140">
        <v>1</v>
      </c>
      <c r="G982" s="77">
        <v>3</v>
      </c>
      <c r="H982" s="139">
        <v>5.72</v>
      </c>
      <c r="I982" s="140">
        <f t="shared" ref="I982:I988" si="50">F982*G982*H982</f>
        <v>17.16</v>
      </c>
    </row>
    <row r="983" spans="2:10" x14ac:dyDescent="0.25">
      <c r="B983" s="166">
        <v>265</v>
      </c>
      <c r="C983" s="151" t="s">
        <v>9</v>
      </c>
      <c r="D983" s="84" t="s">
        <v>404</v>
      </c>
      <c r="E983" s="75" t="s">
        <v>22</v>
      </c>
      <c r="F983" s="140">
        <v>1</v>
      </c>
      <c r="G983" s="77">
        <v>3</v>
      </c>
      <c r="H983" s="139">
        <v>70</v>
      </c>
      <c r="I983" s="140">
        <f t="shared" si="50"/>
        <v>210</v>
      </c>
    </row>
    <row r="984" spans="2:10" x14ac:dyDescent="0.25">
      <c r="B984" s="166">
        <v>1619</v>
      </c>
      <c r="C984" s="151" t="s">
        <v>1</v>
      </c>
      <c r="D984" s="84" t="s">
        <v>405</v>
      </c>
      <c r="E984" s="75" t="s">
        <v>22</v>
      </c>
      <c r="F984" s="140">
        <v>1</v>
      </c>
      <c r="G984" s="77">
        <v>1</v>
      </c>
      <c r="H984" s="139">
        <v>179.66</v>
      </c>
      <c r="I984" s="140">
        <f t="shared" si="50"/>
        <v>179.66</v>
      </c>
    </row>
    <row r="985" spans="2:10" x14ac:dyDescent="0.25">
      <c r="B985" s="166">
        <v>12788</v>
      </c>
      <c r="C985" s="151" t="s">
        <v>9</v>
      </c>
      <c r="D985" s="84" t="s">
        <v>412</v>
      </c>
      <c r="E985" s="75" t="s">
        <v>22</v>
      </c>
      <c r="F985" s="140">
        <v>1</v>
      </c>
      <c r="G985" s="77">
        <v>1</v>
      </c>
      <c r="H985" s="139">
        <v>78.98</v>
      </c>
      <c r="I985" s="140">
        <f t="shared" si="50"/>
        <v>78.98</v>
      </c>
    </row>
    <row r="986" spans="2:10" x14ac:dyDescent="0.25">
      <c r="B986" s="166"/>
      <c r="C986" s="151" t="s">
        <v>413</v>
      </c>
      <c r="D986" s="84" t="s">
        <v>414</v>
      </c>
      <c r="E986" s="75" t="s">
        <v>22</v>
      </c>
      <c r="F986" s="140">
        <v>1</v>
      </c>
      <c r="G986" s="77">
        <v>1</v>
      </c>
      <c r="H986" s="139">
        <v>177.11</v>
      </c>
      <c r="I986" s="140">
        <f t="shared" si="50"/>
        <v>177.11</v>
      </c>
      <c r="J986" s="104"/>
    </row>
    <row r="987" spans="2:10" x14ac:dyDescent="0.25">
      <c r="B987" s="166">
        <v>34709</v>
      </c>
      <c r="C987" s="151" t="s">
        <v>1</v>
      </c>
      <c r="D987" s="84" t="s">
        <v>406</v>
      </c>
      <c r="E987" s="75" t="s">
        <v>22</v>
      </c>
      <c r="F987" s="140">
        <v>1</v>
      </c>
      <c r="G987" s="77">
        <v>1</v>
      </c>
      <c r="H987" s="139">
        <v>67.73</v>
      </c>
      <c r="I987" s="140">
        <f t="shared" si="50"/>
        <v>67.73</v>
      </c>
    </row>
    <row r="988" spans="2:10" ht="24.75" customHeight="1" thickBot="1" x14ac:dyDescent="0.3">
      <c r="B988" s="166">
        <v>13861</v>
      </c>
      <c r="C988" s="151" t="s">
        <v>9</v>
      </c>
      <c r="D988" s="84" t="s">
        <v>407</v>
      </c>
      <c r="E988" s="75" t="s">
        <v>22</v>
      </c>
      <c r="F988" s="140">
        <v>1</v>
      </c>
      <c r="G988" s="77">
        <v>1</v>
      </c>
      <c r="H988" s="139">
        <v>456</v>
      </c>
      <c r="I988" s="140">
        <f t="shared" si="50"/>
        <v>456</v>
      </c>
    </row>
    <row r="989" spans="2:10" ht="14.4" thickBot="1" x14ac:dyDescent="0.3">
      <c r="B989" s="328" t="s">
        <v>28</v>
      </c>
      <c r="C989" s="328"/>
      <c r="D989" s="141"/>
      <c r="E989" s="226" t="s">
        <v>22</v>
      </c>
      <c r="F989" s="226" t="s">
        <v>23</v>
      </c>
      <c r="G989" s="88" t="s">
        <v>24</v>
      </c>
      <c r="H989" s="89" t="s">
        <v>25</v>
      </c>
      <c r="I989" s="226" t="s">
        <v>26</v>
      </c>
    </row>
    <row r="990" spans="2:10" x14ac:dyDescent="0.25">
      <c r="B990" s="166">
        <v>88266</v>
      </c>
      <c r="C990" s="151" t="s">
        <v>1</v>
      </c>
      <c r="D990" s="84" t="s">
        <v>402</v>
      </c>
      <c r="E990" s="75" t="s">
        <v>2</v>
      </c>
      <c r="F990" s="140">
        <v>1</v>
      </c>
      <c r="G990" s="77">
        <v>0.5</v>
      </c>
      <c r="H990" s="139">
        <v>19.61</v>
      </c>
      <c r="I990" s="140">
        <f>F990*G990*H990</f>
        <v>9.8049999999999997</v>
      </c>
    </row>
    <row r="991" spans="2:10" x14ac:dyDescent="0.25">
      <c r="B991" s="166">
        <v>88247</v>
      </c>
      <c r="C991" s="151" t="s">
        <v>1</v>
      </c>
      <c r="D991" s="84" t="s">
        <v>95</v>
      </c>
      <c r="E991" s="75" t="s">
        <v>2</v>
      </c>
      <c r="F991" s="140">
        <v>1</v>
      </c>
      <c r="G991" s="77">
        <v>7.5</v>
      </c>
      <c r="H991" s="139">
        <v>15.19</v>
      </c>
      <c r="I991" s="140">
        <f>F991*G991*H991</f>
        <v>113.925</v>
      </c>
    </row>
    <row r="992" spans="2:10" ht="14.4" thickBot="1" x14ac:dyDescent="0.3">
      <c r="B992" s="166">
        <v>88264</v>
      </c>
      <c r="C992" s="151" t="s">
        <v>1</v>
      </c>
      <c r="D992" s="84" t="s">
        <v>3</v>
      </c>
      <c r="E992" s="75" t="s">
        <v>2</v>
      </c>
      <c r="F992" s="140">
        <v>1</v>
      </c>
      <c r="G992" s="77">
        <v>9.4</v>
      </c>
      <c r="H992" s="139">
        <v>19.53</v>
      </c>
      <c r="I992" s="140">
        <f>F992*G992*H992</f>
        <v>183.58200000000002</v>
      </c>
    </row>
    <row r="993" spans="2:12" ht="14.4" thickBot="1" x14ac:dyDescent="0.3">
      <c r="B993" s="328" t="s">
        <v>29</v>
      </c>
      <c r="C993" s="328"/>
      <c r="D993" s="328"/>
      <c r="E993" s="328"/>
      <c r="F993" s="328"/>
      <c r="G993" s="328"/>
      <c r="H993" s="328"/>
      <c r="I993" s="296">
        <f>SUM(I982:I992)</f>
        <v>1493.9520000000002</v>
      </c>
    </row>
    <row r="994" spans="2:12" s="90" customFormat="1" ht="10.199999999999999" x14ac:dyDescent="0.25">
      <c r="B994" s="166"/>
      <c r="C994" s="223" t="s">
        <v>30</v>
      </c>
      <c r="D994" s="90" t="s">
        <v>408</v>
      </c>
      <c r="E994" s="75"/>
      <c r="F994" s="75"/>
      <c r="G994" s="85"/>
      <c r="H994" s="139"/>
      <c r="I994" s="293"/>
      <c r="L994" s="85"/>
    </row>
    <row r="995" spans="2:12" x14ac:dyDescent="0.25">
      <c r="B995" s="166"/>
      <c r="C995" s="223"/>
      <c r="E995" s="75"/>
      <c r="F995" s="75"/>
      <c r="G995" s="85"/>
      <c r="H995" s="139"/>
      <c r="I995" s="295"/>
    </row>
    <row r="996" spans="2:12" ht="14.4" thickBot="1" x14ac:dyDescent="0.3">
      <c r="B996" s="166"/>
      <c r="C996" s="223"/>
      <c r="E996" s="75"/>
      <c r="F996" s="75"/>
      <c r="G996" s="85"/>
      <c r="H996" s="139"/>
      <c r="I996" s="292"/>
    </row>
    <row r="997" spans="2:12" ht="14.4" thickBot="1" x14ac:dyDescent="0.3">
      <c r="B997" s="330" t="s">
        <v>18</v>
      </c>
      <c r="C997" s="330"/>
      <c r="D997" s="331" t="s">
        <v>19</v>
      </c>
      <c r="E997" s="331"/>
      <c r="F997" s="331"/>
      <c r="G997" s="331"/>
      <c r="H997" s="331"/>
      <c r="I997" s="291" t="s">
        <v>20</v>
      </c>
    </row>
    <row r="998" spans="2:12" ht="14.4" thickBot="1" x14ac:dyDescent="0.3">
      <c r="B998" s="329" t="s">
        <v>664</v>
      </c>
      <c r="C998" s="329"/>
      <c r="D998" s="340" t="s">
        <v>481</v>
      </c>
      <c r="E998" s="340"/>
      <c r="F998" s="340"/>
      <c r="G998" s="340"/>
      <c r="H998" s="340"/>
      <c r="I998" s="80" t="s">
        <v>8</v>
      </c>
    </row>
    <row r="999" spans="2:12" ht="14.4" thickBot="1" x14ac:dyDescent="0.3">
      <c r="B999" s="328" t="s">
        <v>21</v>
      </c>
      <c r="C999" s="328"/>
      <c r="D999" s="141"/>
      <c r="E999" s="226" t="s">
        <v>22</v>
      </c>
      <c r="F999" s="226" t="s">
        <v>23</v>
      </c>
      <c r="G999" s="88" t="s">
        <v>24</v>
      </c>
      <c r="H999" s="89" t="s">
        <v>25</v>
      </c>
      <c r="I999" s="226" t="s">
        <v>26</v>
      </c>
    </row>
    <row r="1000" spans="2:12" ht="20.399999999999999" x14ac:dyDescent="0.25">
      <c r="B1000" s="166">
        <v>39749</v>
      </c>
      <c r="C1000" s="151" t="s">
        <v>1</v>
      </c>
      <c r="D1000" s="84" t="s">
        <v>421</v>
      </c>
      <c r="E1000" s="75" t="s">
        <v>8</v>
      </c>
      <c r="F1000" s="140">
        <v>1</v>
      </c>
      <c r="G1000" s="77">
        <v>1</v>
      </c>
      <c r="H1000" s="139">
        <v>112.56</v>
      </c>
      <c r="I1000" s="140">
        <f>F1000*G1000*H1000</f>
        <v>112.56</v>
      </c>
    </row>
    <row r="1001" spans="2:12" x14ac:dyDescent="0.25">
      <c r="B1001" s="166">
        <v>12716</v>
      </c>
      <c r="C1001" s="151" t="s">
        <v>1</v>
      </c>
      <c r="D1001" s="84" t="s">
        <v>422</v>
      </c>
      <c r="E1001" s="75" t="s">
        <v>22</v>
      </c>
      <c r="F1001" s="140">
        <v>0.1</v>
      </c>
      <c r="G1001" s="77">
        <v>3</v>
      </c>
      <c r="H1001" s="139">
        <v>23</v>
      </c>
      <c r="I1001" s="140">
        <f>F1001*G1001*H1001</f>
        <v>6.9000000000000012</v>
      </c>
    </row>
    <row r="1002" spans="2:12" x14ac:dyDescent="0.25">
      <c r="B1002" s="166">
        <v>12354</v>
      </c>
      <c r="C1002" s="151" t="s">
        <v>9</v>
      </c>
      <c r="D1002" s="84" t="s">
        <v>424</v>
      </c>
      <c r="E1002" s="75" t="s">
        <v>22</v>
      </c>
      <c r="F1002" s="140">
        <v>0.06</v>
      </c>
      <c r="G1002" s="77">
        <v>2</v>
      </c>
      <c r="H1002" s="139">
        <v>9.09</v>
      </c>
      <c r="I1002" s="140">
        <f>F1002*G1002*H1002</f>
        <v>1.0908</v>
      </c>
    </row>
    <row r="1003" spans="2:12" x14ac:dyDescent="0.25">
      <c r="B1003" s="166"/>
      <c r="C1003" s="151" t="s">
        <v>206</v>
      </c>
      <c r="D1003" s="84" t="s">
        <v>426</v>
      </c>
      <c r="E1003" s="75" t="s">
        <v>22</v>
      </c>
      <c r="F1003" s="140">
        <v>0.03</v>
      </c>
      <c r="G1003" s="77">
        <v>1</v>
      </c>
      <c r="H1003" s="139">
        <v>56.39</v>
      </c>
      <c r="I1003" s="140">
        <f>F1003*G1003*H1003</f>
        <v>1.6917</v>
      </c>
      <c r="J1003" s="104"/>
    </row>
    <row r="1004" spans="2:12" x14ac:dyDescent="0.25">
      <c r="B1004" s="166">
        <v>12725</v>
      </c>
      <c r="C1004" s="151" t="s">
        <v>1</v>
      </c>
      <c r="D1004" s="84" t="s">
        <v>429</v>
      </c>
      <c r="E1004" s="75" t="s">
        <v>22</v>
      </c>
      <c r="F1004" s="140">
        <v>0.13</v>
      </c>
      <c r="G1004" s="77">
        <v>4</v>
      </c>
      <c r="H1004" s="139">
        <v>12.72</v>
      </c>
      <c r="I1004" s="140">
        <f>F1004*G1004*H1004</f>
        <v>6.6144000000000007</v>
      </c>
    </row>
    <row r="1005" spans="2:12" x14ac:dyDescent="0.25">
      <c r="B1005" s="166">
        <v>370</v>
      </c>
      <c r="C1005" s="151" t="s">
        <v>1</v>
      </c>
      <c r="D1005" s="84" t="s">
        <v>79</v>
      </c>
      <c r="E1005" s="75" t="s">
        <v>80</v>
      </c>
      <c r="F1005" s="140">
        <v>0.435</v>
      </c>
      <c r="G1005" s="77">
        <v>1.7400000000000002E-2</v>
      </c>
      <c r="H1005" s="139">
        <v>83.5</v>
      </c>
      <c r="I1005" s="140">
        <f>G1005*H1005</f>
        <v>1.4529000000000001</v>
      </c>
    </row>
    <row r="1006" spans="2:12" x14ac:dyDescent="0.25">
      <c r="B1006" s="166">
        <v>1379</v>
      </c>
      <c r="C1006" s="151" t="s">
        <v>1</v>
      </c>
      <c r="D1006" s="84" t="s">
        <v>81</v>
      </c>
      <c r="E1006" s="75" t="s">
        <v>82</v>
      </c>
      <c r="F1006" s="140">
        <v>246</v>
      </c>
      <c r="G1006" s="77">
        <v>9.8400000000000016</v>
      </c>
      <c r="H1006" s="139">
        <v>0.72</v>
      </c>
      <c r="I1006" s="140">
        <f>G1006*H1006</f>
        <v>7.0848000000000013</v>
      </c>
    </row>
    <row r="1007" spans="2:12" x14ac:dyDescent="0.25">
      <c r="B1007" s="166">
        <v>4721</v>
      </c>
      <c r="C1007" s="151" t="s">
        <v>1</v>
      </c>
      <c r="D1007" s="84" t="s">
        <v>83</v>
      </c>
      <c r="E1007" s="75" t="s">
        <v>80</v>
      </c>
      <c r="F1007" s="140">
        <v>0.435</v>
      </c>
      <c r="G1007" s="77">
        <v>1.7400000000000002E-2</v>
      </c>
      <c r="H1007" s="139">
        <v>84.4</v>
      </c>
      <c r="I1007" s="140">
        <f>G1007*H1007</f>
        <v>1.4685600000000003</v>
      </c>
    </row>
    <row r="1008" spans="2:12" x14ac:dyDescent="0.25">
      <c r="B1008" s="166">
        <v>4718</v>
      </c>
      <c r="C1008" s="151" t="s">
        <v>1</v>
      </c>
      <c r="D1008" s="84" t="s">
        <v>84</v>
      </c>
      <c r="E1008" s="75" t="s">
        <v>80</v>
      </c>
      <c r="F1008" s="140">
        <v>0.435</v>
      </c>
      <c r="G1008" s="77">
        <v>1.7400000000000002E-2</v>
      </c>
      <c r="H1008" s="139">
        <v>84.85</v>
      </c>
      <c r="I1008" s="140">
        <f>G1008*H1008</f>
        <v>1.4763900000000001</v>
      </c>
    </row>
    <row r="1009" spans="2:9" ht="14.4" thickBot="1" x14ac:dyDescent="0.3">
      <c r="B1009" s="166">
        <v>11201</v>
      </c>
      <c r="C1009" s="151" t="s">
        <v>9</v>
      </c>
      <c r="D1009" s="84" t="s">
        <v>116</v>
      </c>
      <c r="E1009" s="75" t="s">
        <v>8</v>
      </c>
      <c r="F1009" s="140">
        <v>1</v>
      </c>
      <c r="G1009" s="77">
        <v>1</v>
      </c>
      <c r="H1009" s="139">
        <v>1.43</v>
      </c>
      <c r="I1009" s="140">
        <f>G1009*H1009</f>
        <v>1.43</v>
      </c>
    </row>
    <row r="1010" spans="2:9" ht="14.4" thickBot="1" x14ac:dyDescent="0.3">
      <c r="B1010" s="328" t="s">
        <v>27</v>
      </c>
      <c r="C1010" s="328"/>
      <c r="D1010" s="141"/>
      <c r="E1010" s="226" t="s">
        <v>22</v>
      </c>
      <c r="F1010" s="226" t="s">
        <v>23</v>
      </c>
      <c r="G1010" s="88" t="s">
        <v>24</v>
      </c>
      <c r="H1010" s="89" t="s">
        <v>25</v>
      </c>
      <c r="I1010" s="226" t="s">
        <v>26</v>
      </c>
    </row>
    <row r="1011" spans="2:9" ht="30.6" x14ac:dyDescent="0.25">
      <c r="B1011" s="166">
        <v>90105</v>
      </c>
      <c r="C1011" s="151" t="s">
        <v>1</v>
      </c>
      <c r="D1011" s="84" t="s">
        <v>276</v>
      </c>
      <c r="E1011" s="75" t="s">
        <v>80</v>
      </c>
      <c r="F1011" s="140">
        <v>1</v>
      </c>
      <c r="G1011" s="77">
        <v>0.04</v>
      </c>
      <c r="H1011" s="139">
        <v>6.38</v>
      </c>
      <c r="I1011" s="140">
        <f>F1011*G1011*H1011</f>
        <v>0.25519999999999998</v>
      </c>
    </row>
    <row r="1012" spans="2:9" ht="30.6" x14ac:dyDescent="0.25">
      <c r="B1012" s="166">
        <v>93378</v>
      </c>
      <c r="C1012" s="151" t="s">
        <v>1</v>
      </c>
      <c r="D1012" s="84" t="s">
        <v>278</v>
      </c>
      <c r="E1012" s="75" t="s">
        <v>80</v>
      </c>
      <c r="F1012" s="140">
        <v>1</v>
      </c>
      <c r="G1012" s="77">
        <v>0.03</v>
      </c>
      <c r="H1012" s="139">
        <v>16.96</v>
      </c>
      <c r="I1012" s="140">
        <f>F1012*G1012*H1012</f>
        <v>0.50880000000000003</v>
      </c>
    </row>
    <row r="1013" spans="2:9" ht="21" thickBot="1" x14ac:dyDescent="0.3">
      <c r="B1013" s="166">
        <v>88830</v>
      </c>
      <c r="C1013" s="151" t="s">
        <v>1</v>
      </c>
      <c r="D1013" s="84" t="s">
        <v>86</v>
      </c>
      <c r="E1013" s="75" t="s">
        <v>85</v>
      </c>
      <c r="F1013" s="140">
        <v>1</v>
      </c>
      <c r="G1013" s="77">
        <v>4.4600000000000001E-2</v>
      </c>
      <c r="H1013" s="139">
        <v>1.87</v>
      </c>
      <c r="I1013" s="140">
        <f>F1013*G1013*H1013</f>
        <v>8.3402000000000004E-2</v>
      </c>
    </row>
    <row r="1014" spans="2:9" ht="14.4" thickBot="1" x14ac:dyDescent="0.3">
      <c r="B1014" s="328" t="s">
        <v>28</v>
      </c>
      <c r="C1014" s="328"/>
      <c r="D1014" s="141"/>
      <c r="E1014" s="226" t="s">
        <v>22</v>
      </c>
      <c r="F1014" s="226" t="s">
        <v>23</v>
      </c>
      <c r="G1014" s="88" t="s">
        <v>24</v>
      </c>
      <c r="H1014" s="89" t="s">
        <v>25</v>
      </c>
      <c r="I1014" s="226" t="s">
        <v>26</v>
      </c>
    </row>
    <row r="1015" spans="2:9" x14ac:dyDescent="0.25">
      <c r="B1015" s="166">
        <v>88267</v>
      </c>
      <c r="C1015" s="151" t="s">
        <v>1</v>
      </c>
      <c r="D1015" s="84" t="s">
        <v>253</v>
      </c>
      <c r="E1015" s="75" t="s">
        <v>2</v>
      </c>
      <c r="F1015" s="140">
        <v>4.333333333333333</v>
      </c>
      <c r="G1015" s="77">
        <v>0.45</v>
      </c>
      <c r="H1015" s="139">
        <v>18.72</v>
      </c>
      <c r="I1015" s="140">
        <f>F1015*G1015*H1015</f>
        <v>36.503999999999998</v>
      </c>
    </row>
    <row r="1016" spans="2:9" ht="14.4" thickBot="1" x14ac:dyDescent="0.3">
      <c r="B1016" s="166">
        <v>88248</v>
      </c>
      <c r="C1016" s="151" t="s">
        <v>1</v>
      </c>
      <c r="D1016" s="84" t="s">
        <v>252</v>
      </c>
      <c r="E1016" s="75" t="s">
        <v>2</v>
      </c>
      <c r="F1016" s="140">
        <v>4.333333333333333</v>
      </c>
      <c r="G1016" s="77">
        <v>0.45</v>
      </c>
      <c r="H1016" s="139">
        <v>15.54</v>
      </c>
      <c r="I1016" s="140">
        <f>F1016*G1016*H1016</f>
        <v>30.302999999999997</v>
      </c>
    </row>
    <row r="1017" spans="2:9" ht="14.4" thickBot="1" x14ac:dyDescent="0.3">
      <c r="B1017" s="328" t="s">
        <v>29</v>
      </c>
      <c r="C1017" s="328"/>
      <c r="D1017" s="328"/>
      <c r="E1017" s="328"/>
      <c r="F1017" s="328"/>
      <c r="G1017" s="328"/>
      <c r="H1017" s="328"/>
      <c r="I1017" s="296">
        <f>SUM(I1000:I1016)</f>
        <v>209.42395200000001</v>
      </c>
    </row>
    <row r="1018" spans="2:9" x14ac:dyDescent="0.25">
      <c r="B1018" s="166"/>
      <c r="C1018" s="223" t="s">
        <v>30</v>
      </c>
      <c r="D1018" s="90" t="s">
        <v>482</v>
      </c>
      <c r="E1018" s="75"/>
      <c r="F1018" s="75"/>
      <c r="G1018" s="85"/>
      <c r="H1018" s="139"/>
      <c r="I1018" s="293"/>
    </row>
    <row r="1019" spans="2:9" x14ac:dyDescent="0.25">
      <c r="B1019" s="166"/>
      <c r="C1019" s="223"/>
      <c r="E1019" s="75"/>
      <c r="F1019" s="75"/>
      <c r="G1019" s="85"/>
      <c r="H1019" s="139"/>
      <c r="I1019" s="295"/>
    </row>
    <row r="1020" spans="2:9" ht="14.4" thickBot="1" x14ac:dyDescent="0.3">
      <c r="B1020" s="166"/>
      <c r="C1020" s="223"/>
      <c r="E1020" s="75"/>
      <c r="F1020" s="75"/>
      <c r="G1020" s="85"/>
      <c r="H1020" s="139"/>
      <c r="I1020" s="292"/>
    </row>
    <row r="1021" spans="2:9" ht="14.4" thickBot="1" x14ac:dyDescent="0.3">
      <c r="B1021" s="330" t="s">
        <v>18</v>
      </c>
      <c r="C1021" s="330"/>
      <c r="D1021" s="331" t="s">
        <v>19</v>
      </c>
      <c r="E1021" s="331"/>
      <c r="F1021" s="331"/>
      <c r="G1021" s="331"/>
      <c r="H1021" s="331"/>
      <c r="I1021" s="291" t="s">
        <v>20</v>
      </c>
    </row>
    <row r="1022" spans="2:9" ht="14.4" thickBot="1" x14ac:dyDescent="0.3">
      <c r="B1022" s="329" t="s">
        <v>669</v>
      </c>
      <c r="C1022" s="329"/>
      <c r="D1022" s="340" t="s">
        <v>484</v>
      </c>
      <c r="E1022" s="340"/>
      <c r="F1022" s="340"/>
      <c r="G1022" s="340"/>
      <c r="H1022" s="340"/>
      <c r="I1022" s="80" t="s">
        <v>8</v>
      </c>
    </row>
    <row r="1023" spans="2:9" ht="14.4" thickBot="1" x14ac:dyDescent="0.3">
      <c r="B1023" s="328" t="s">
        <v>21</v>
      </c>
      <c r="C1023" s="328"/>
      <c r="D1023" s="141"/>
      <c r="E1023" s="226" t="s">
        <v>22</v>
      </c>
      <c r="F1023" s="226" t="s">
        <v>23</v>
      </c>
      <c r="G1023" s="88" t="s">
        <v>24</v>
      </c>
      <c r="H1023" s="89" t="s">
        <v>25</v>
      </c>
      <c r="I1023" s="226" t="s">
        <v>26</v>
      </c>
    </row>
    <row r="1024" spans="2:9" ht="20.399999999999999" x14ac:dyDescent="0.25">
      <c r="B1024" s="166">
        <v>39748</v>
      </c>
      <c r="C1024" s="151" t="s">
        <v>1</v>
      </c>
      <c r="D1024" s="84" t="s">
        <v>420</v>
      </c>
      <c r="E1024" s="75" t="s">
        <v>8</v>
      </c>
      <c r="F1024" s="140">
        <v>1</v>
      </c>
      <c r="G1024" s="77">
        <v>1</v>
      </c>
      <c r="H1024" s="139">
        <v>88.48</v>
      </c>
      <c r="I1024" s="140">
        <f t="shared" ref="I1024:I1029" si="51">F1024*G1024*H1024</f>
        <v>88.48</v>
      </c>
    </row>
    <row r="1025" spans="2:12" x14ac:dyDescent="0.25">
      <c r="B1025" s="166">
        <v>12715</v>
      </c>
      <c r="C1025" s="151" t="s">
        <v>1</v>
      </c>
      <c r="D1025" s="84" t="s">
        <v>423</v>
      </c>
      <c r="E1025" s="75" t="s">
        <v>22</v>
      </c>
      <c r="F1025" s="140">
        <v>1</v>
      </c>
      <c r="G1025" s="77">
        <v>0.33</v>
      </c>
      <c r="H1025" s="139">
        <v>13.39</v>
      </c>
      <c r="I1025" s="140">
        <f t="shared" si="51"/>
        <v>4.4187000000000003</v>
      </c>
    </row>
    <row r="1026" spans="2:12" x14ac:dyDescent="0.25">
      <c r="B1026" s="166"/>
      <c r="C1026" s="151" t="s">
        <v>206</v>
      </c>
      <c r="D1026" s="84" t="s">
        <v>425</v>
      </c>
      <c r="E1026" s="75" t="s">
        <v>22</v>
      </c>
      <c r="F1026" s="140">
        <v>1</v>
      </c>
      <c r="G1026" s="77">
        <v>0.11</v>
      </c>
      <c r="H1026" s="139">
        <v>23.36</v>
      </c>
      <c r="I1026" s="140">
        <f t="shared" si="51"/>
        <v>2.5695999999999999</v>
      </c>
      <c r="J1026" s="104"/>
    </row>
    <row r="1027" spans="2:12" x14ac:dyDescent="0.25">
      <c r="B1027" s="166"/>
      <c r="C1027" s="151" t="s">
        <v>206</v>
      </c>
      <c r="D1027" s="84" t="s">
        <v>427</v>
      </c>
      <c r="E1027" s="75" t="s">
        <v>22</v>
      </c>
      <c r="F1027" s="140">
        <v>1</v>
      </c>
      <c r="G1027" s="77">
        <v>0.44</v>
      </c>
      <c r="H1027" s="139">
        <v>17</v>
      </c>
      <c r="I1027" s="140">
        <f t="shared" si="51"/>
        <v>7.48</v>
      </c>
      <c r="J1027" s="104"/>
    </row>
    <row r="1028" spans="2:12" x14ac:dyDescent="0.25">
      <c r="B1028" s="166">
        <v>12724</v>
      </c>
      <c r="C1028" s="151" t="s">
        <v>1</v>
      </c>
      <c r="D1028" s="84" t="s">
        <v>428</v>
      </c>
      <c r="E1028" s="75" t="s">
        <v>22</v>
      </c>
      <c r="F1028" s="140">
        <v>1</v>
      </c>
      <c r="G1028" s="77">
        <v>0.22</v>
      </c>
      <c r="H1028" s="139">
        <v>6.34</v>
      </c>
      <c r="I1028" s="140">
        <f t="shared" si="51"/>
        <v>1.3948</v>
      </c>
    </row>
    <row r="1029" spans="2:12" ht="14.4" thickBot="1" x14ac:dyDescent="0.3">
      <c r="B1029" s="166">
        <v>12734</v>
      </c>
      <c r="C1029" s="151" t="s">
        <v>1</v>
      </c>
      <c r="D1029" s="84" t="s">
        <v>430</v>
      </c>
      <c r="E1029" s="75" t="s">
        <v>22</v>
      </c>
      <c r="F1029" s="140">
        <v>1</v>
      </c>
      <c r="G1029" s="77">
        <v>0.33</v>
      </c>
      <c r="H1029" s="139">
        <v>17.190000000000001</v>
      </c>
      <c r="I1029" s="140">
        <f t="shared" si="51"/>
        <v>5.6727000000000007</v>
      </c>
    </row>
    <row r="1030" spans="2:12" ht="14.4" thickBot="1" x14ac:dyDescent="0.3">
      <c r="B1030" s="328" t="s">
        <v>28</v>
      </c>
      <c r="C1030" s="328"/>
      <c r="D1030" s="141"/>
      <c r="E1030" s="226" t="s">
        <v>22</v>
      </c>
      <c r="F1030" s="226" t="s">
        <v>23</v>
      </c>
      <c r="G1030" s="88" t="s">
        <v>24</v>
      </c>
      <c r="H1030" s="89" t="s">
        <v>25</v>
      </c>
      <c r="I1030" s="226" t="s">
        <v>26</v>
      </c>
    </row>
    <row r="1031" spans="2:12" x14ac:dyDescent="0.25">
      <c r="B1031" s="166">
        <v>88267</v>
      </c>
      <c r="C1031" s="151" t="s">
        <v>1</v>
      </c>
      <c r="D1031" s="84" t="s">
        <v>253</v>
      </c>
      <c r="E1031" s="75" t="s">
        <v>2</v>
      </c>
      <c r="F1031" s="140">
        <v>4.333333333333333</v>
      </c>
      <c r="G1031" s="77">
        <v>0.45</v>
      </c>
      <c r="H1031" s="139">
        <v>18.72</v>
      </c>
      <c r="I1031" s="140">
        <f>F1031*G1031*H1031</f>
        <v>36.503999999999998</v>
      </c>
    </row>
    <row r="1032" spans="2:12" ht="14.4" thickBot="1" x14ac:dyDescent="0.3">
      <c r="B1032" s="166">
        <v>88248</v>
      </c>
      <c r="C1032" s="151" t="s">
        <v>1</v>
      </c>
      <c r="D1032" s="84" t="s">
        <v>252</v>
      </c>
      <c r="E1032" s="75" t="s">
        <v>2</v>
      </c>
      <c r="F1032" s="140">
        <v>4.333333333333333</v>
      </c>
      <c r="G1032" s="77">
        <v>0.45</v>
      </c>
      <c r="H1032" s="139">
        <v>15.54</v>
      </c>
      <c r="I1032" s="140">
        <f>F1032*G1032*H1032</f>
        <v>30.302999999999997</v>
      </c>
    </row>
    <row r="1033" spans="2:12" ht="14.4" thickBot="1" x14ac:dyDescent="0.3">
      <c r="B1033" s="328" t="s">
        <v>29</v>
      </c>
      <c r="C1033" s="328"/>
      <c r="D1033" s="328"/>
      <c r="E1033" s="328"/>
      <c r="F1033" s="328"/>
      <c r="G1033" s="328"/>
      <c r="H1033" s="328"/>
      <c r="I1033" s="296">
        <f>SUM(I1024:I1032)</f>
        <v>176.8228</v>
      </c>
    </row>
    <row r="1034" spans="2:12" s="90" customFormat="1" ht="10.199999999999999" x14ac:dyDescent="0.25">
      <c r="B1034" s="166"/>
      <c r="C1034" s="223" t="s">
        <v>30</v>
      </c>
      <c r="D1034" s="90" t="s">
        <v>431</v>
      </c>
      <c r="E1034" s="75"/>
      <c r="F1034" s="75"/>
      <c r="G1034" s="85"/>
      <c r="H1034" s="139"/>
      <c r="I1034" s="293"/>
      <c r="L1034" s="85"/>
    </row>
    <row r="1035" spans="2:12" s="90" customFormat="1" ht="10.199999999999999" x14ac:dyDescent="0.25">
      <c r="B1035" s="166"/>
      <c r="C1035" s="223"/>
      <c r="E1035" s="75"/>
      <c r="F1035" s="75"/>
      <c r="G1035" s="85"/>
      <c r="H1035" s="139"/>
      <c r="I1035" s="295"/>
      <c r="L1035" s="85"/>
    </row>
    <row r="1036" spans="2:12" s="90" customFormat="1" ht="10.8" thickBot="1" x14ac:dyDescent="0.3">
      <c r="B1036" s="166"/>
      <c r="C1036" s="223"/>
      <c r="E1036" s="75"/>
      <c r="F1036" s="75"/>
      <c r="G1036" s="85"/>
      <c r="H1036" s="139"/>
      <c r="I1036" s="292"/>
      <c r="L1036" s="85"/>
    </row>
    <row r="1037" spans="2:12" ht="14.4" thickBot="1" x14ac:dyDescent="0.3">
      <c r="B1037" s="330" t="s">
        <v>18</v>
      </c>
      <c r="C1037" s="330"/>
      <c r="D1037" s="331" t="s">
        <v>19</v>
      </c>
      <c r="E1037" s="331"/>
      <c r="F1037" s="331"/>
      <c r="G1037" s="331"/>
      <c r="H1037" s="331"/>
      <c r="I1037" s="291" t="s">
        <v>20</v>
      </c>
    </row>
    <row r="1038" spans="2:12" ht="14.4" thickBot="1" x14ac:dyDescent="0.3">
      <c r="B1038" s="329" t="s">
        <v>727</v>
      </c>
      <c r="C1038" s="329"/>
      <c r="D1038" s="340" t="s">
        <v>475</v>
      </c>
      <c r="E1038" s="340"/>
      <c r="F1038" s="340"/>
      <c r="G1038" s="340"/>
      <c r="H1038" s="340"/>
      <c r="I1038" s="80" t="s">
        <v>472</v>
      </c>
    </row>
    <row r="1039" spans="2:12" ht="14.4" thickBot="1" x14ac:dyDescent="0.3">
      <c r="B1039" s="328" t="s">
        <v>21</v>
      </c>
      <c r="C1039" s="328"/>
      <c r="D1039" s="141"/>
      <c r="E1039" s="226" t="s">
        <v>22</v>
      </c>
      <c r="F1039" s="226" t="s">
        <v>23</v>
      </c>
      <c r="G1039" s="88" t="s">
        <v>24</v>
      </c>
      <c r="H1039" s="89" t="s">
        <v>25</v>
      </c>
      <c r="I1039" s="226" t="s">
        <v>26</v>
      </c>
    </row>
    <row r="1040" spans="2:12" x14ac:dyDescent="0.25">
      <c r="B1040" s="166"/>
      <c r="C1040" s="151" t="s">
        <v>206</v>
      </c>
      <c r="D1040" s="84" t="s">
        <v>434</v>
      </c>
      <c r="E1040" s="75" t="s">
        <v>22</v>
      </c>
      <c r="F1040" s="140">
        <v>1</v>
      </c>
      <c r="G1040" s="77">
        <v>1</v>
      </c>
      <c r="H1040" s="139">
        <v>116.72</v>
      </c>
      <c r="I1040" s="140">
        <f t="shared" ref="I1040:I1046" si="52">F1040*G1040*H1040</f>
        <v>116.72</v>
      </c>
      <c r="J1040" s="104"/>
    </row>
    <row r="1041" spans="2:10" x14ac:dyDescent="0.25">
      <c r="B1041" s="166"/>
      <c r="C1041" s="151" t="s">
        <v>206</v>
      </c>
      <c r="D1041" s="84" t="s">
        <v>476</v>
      </c>
      <c r="E1041" s="75" t="s">
        <v>22</v>
      </c>
      <c r="F1041" s="140">
        <v>1</v>
      </c>
      <c r="G1041" s="77">
        <v>4</v>
      </c>
      <c r="H1041" s="139">
        <v>88.3</v>
      </c>
      <c r="I1041" s="140">
        <f>F1041*G1041*H1041</f>
        <v>353.2</v>
      </c>
      <c r="J1041" s="104"/>
    </row>
    <row r="1042" spans="2:10" x14ac:dyDescent="0.25">
      <c r="B1042" s="166"/>
      <c r="C1042" s="151" t="s">
        <v>206</v>
      </c>
      <c r="D1042" s="84" t="s">
        <v>435</v>
      </c>
      <c r="E1042" s="75" t="s">
        <v>22</v>
      </c>
      <c r="F1042" s="140">
        <v>1</v>
      </c>
      <c r="G1042" s="77">
        <v>1</v>
      </c>
      <c r="H1042" s="139">
        <v>779.81</v>
      </c>
      <c r="I1042" s="140">
        <f t="shared" si="52"/>
        <v>779.81</v>
      </c>
      <c r="J1042" s="104"/>
    </row>
    <row r="1043" spans="2:10" x14ac:dyDescent="0.25">
      <c r="B1043" s="166"/>
      <c r="C1043" s="151" t="s">
        <v>206</v>
      </c>
      <c r="D1043" s="84" t="s">
        <v>448</v>
      </c>
      <c r="E1043" s="75" t="s">
        <v>22</v>
      </c>
      <c r="F1043" s="140">
        <v>1</v>
      </c>
      <c r="G1043" s="77">
        <v>1</v>
      </c>
      <c r="H1043" s="139">
        <v>746.7</v>
      </c>
      <c r="I1043" s="140">
        <f t="shared" si="52"/>
        <v>746.7</v>
      </c>
      <c r="J1043" s="104"/>
    </row>
    <row r="1044" spans="2:10" x14ac:dyDescent="0.25">
      <c r="B1044" s="166">
        <v>7548</v>
      </c>
      <c r="C1044" s="151" t="s">
        <v>9</v>
      </c>
      <c r="D1044" s="84" t="s">
        <v>436</v>
      </c>
      <c r="E1044" s="75" t="s">
        <v>22</v>
      </c>
      <c r="F1044" s="140">
        <v>1</v>
      </c>
      <c r="G1044" s="77">
        <v>10</v>
      </c>
      <c r="H1044" s="139">
        <v>40.340000000000003</v>
      </c>
      <c r="I1044" s="140">
        <f t="shared" si="52"/>
        <v>403.40000000000003</v>
      </c>
    </row>
    <row r="1045" spans="2:10" ht="20.399999999999999" x14ac:dyDescent="0.25">
      <c r="B1045" s="166">
        <v>12898</v>
      </c>
      <c r="C1045" s="151" t="s">
        <v>1</v>
      </c>
      <c r="D1045" s="84" t="s">
        <v>446</v>
      </c>
      <c r="E1045" s="75" t="s">
        <v>22</v>
      </c>
      <c r="F1045" s="140">
        <v>1</v>
      </c>
      <c r="G1045" s="77">
        <v>2</v>
      </c>
      <c r="H1045" s="139">
        <v>147.80000000000001</v>
      </c>
      <c r="I1045" s="140">
        <f t="shared" si="52"/>
        <v>295.60000000000002</v>
      </c>
    </row>
    <row r="1046" spans="2:10" ht="20.399999999999999" x14ac:dyDescent="0.25">
      <c r="B1046" s="166">
        <v>37558</v>
      </c>
      <c r="C1046" s="151" t="s">
        <v>1</v>
      </c>
      <c r="D1046" s="84" t="s">
        <v>437</v>
      </c>
      <c r="E1046" s="75" t="s">
        <v>22</v>
      </c>
      <c r="F1046" s="140">
        <v>1</v>
      </c>
      <c r="G1046" s="77">
        <v>4</v>
      </c>
      <c r="H1046" s="139">
        <v>39.840000000000003</v>
      </c>
      <c r="I1046" s="140">
        <f t="shared" si="52"/>
        <v>159.36000000000001</v>
      </c>
    </row>
    <row r="1047" spans="2:10" x14ac:dyDescent="0.25">
      <c r="B1047" s="166">
        <v>40626</v>
      </c>
      <c r="C1047" s="151" t="s">
        <v>1</v>
      </c>
      <c r="D1047" s="84" t="s">
        <v>477</v>
      </c>
      <c r="E1047" s="75" t="s">
        <v>8</v>
      </c>
      <c r="F1047" s="140">
        <v>1</v>
      </c>
      <c r="G1047" s="77">
        <v>6</v>
      </c>
      <c r="H1047" s="139">
        <v>43.16</v>
      </c>
      <c r="I1047" s="140">
        <f t="shared" ref="I1047:I1056" si="53">F1047*G1047*H1047</f>
        <v>258.95999999999998</v>
      </c>
    </row>
    <row r="1048" spans="2:10" x14ac:dyDescent="0.25">
      <c r="B1048" s="166">
        <v>12163</v>
      </c>
      <c r="C1048" s="151" t="s">
        <v>9</v>
      </c>
      <c r="D1048" s="84" t="s">
        <v>494</v>
      </c>
      <c r="E1048" s="75" t="s">
        <v>22</v>
      </c>
      <c r="F1048" s="140">
        <v>1</v>
      </c>
      <c r="G1048" s="77">
        <v>8</v>
      </c>
      <c r="H1048" s="139">
        <v>28.16</v>
      </c>
      <c r="I1048" s="140">
        <f>F1048*G1048*H1048</f>
        <v>225.28</v>
      </c>
    </row>
    <row r="1049" spans="2:10" x14ac:dyDescent="0.25">
      <c r="B1049" s="166">
        <v>1170</v>
      </c>
      <c r="C1049" s="151" t="s">
        <v>1</v>
      </c>
      <c r="D1049" s="84" t="s">
        <v>416</v>
      </c>
      <c r="E1049" s="75" t="s">
        <v>22</v>
      </c>
      <c r="F1049" s="140">
        <v>1</v>
      </c>
      <c r="G1049" s="77">
        <v>2</v>
      </c>
      <c r="H1049" s="139">
        <v>8.0299999999999994</v>
      </c>
      <c r="I1049" s="140">
        <f t="shared" si="53"/>
        <v>16.059999999999999</v>
      </c>
    </row>
    <row r="1050" spans="2:10" x14ac:dyDescent="0.25">
      <c r="B1050" s="166">
        <v>6323</v>
      </c>
      <c r="C1050" s="151" t="s">
        <v>1</v>
      </c>
      <c r="D1050" s="84" t="s">
        <v>478</v>
      </c>
      <c r="E1050" s="75" t="s">
        <v>22</v>
      </c>
      <c r="F1050" s="140">
        <v>1</v>
      </c>
      <c r="G1050" s="77">
        <v>11</v>
      </c>
      <c r="H1050" s="139">
        <v>17.03</v>
      </c>
      <c r="I1050" s="140">
        <f t="shared" si="53"/>
        <v>187.33</v>
      </c>
    </row>
    <row r="1051" spans="2:10" x14ac:dyDescent="0.25">
      <c r="B1051" s="166">
        <v>6320</v>
      </c>
      <c r="C1051" s="151" t="s">
        <v>1</v>
      </c>
      <c r="D1051" s="84" t="s">
        <v>479</v>
      </c>
      <c r="E1051" s="75" t="s">
        <v>22</v>
      </c>
      <c r="F1051" s="140">
        <v>1</v>
      </c>
      <c r="G1051" s="77">
        <v>2</v>
      </c>
      <c r="H1051" s="139">
        <v>19.98</v>
      </c>
      <c r="I1051" s="140">
        <f t="shared" si="53"/>
        <v>39.96</v>
      </c>
    </row>
    <row r="1052" spans="2:10" x14ac:dyDescent="0.25">
      <c r="B1052" s="166">
        <v>3444</v>
      </c>
      <c r="C1052" s="151" t="s">
        <v>1</v>
      </c>
      <c r="D1052" s="84" t="s">
        <v>480</v>
      </c>
      <c r="E1052" s="75" t="s">
        <v>22</v>
      </c>
      <c r="F1052" s="140">
        <v>1</v>
      </c>
      <c r="G1052" s="77">
        <v>2</v>
      </c>
      <c r="H1052" s="139">
        <v>14.22</v>
      </c>
      <c r="I1052" s="140">
        <f t="shared" si="53"/>
        <v>28.44</v>
      </c>
    </row>
    <row r="1053" spans="2:10" x14ac:dyDescent="0.25">
      <c r="B1053" s="166">
        <v>3768</v>
      </c>
      <c r="C1053" s="151" t="s">
        <v>1</v>
      </c>
      <c r="D1053" s="84" t="s">
        <v>445</v>
      </c>
      <c r="E1053" s="75" t="s">
        <v>22</v>
      </c>
      <c r="F1053" s="140">
        <v>1</v>
      </c>
      <c r="G1053" s="77">
        <v>0.32</v>
      </c>
      <c r="H1053" s="139">
        <v>3.36</v>
      </c>
      <c r="I1053" s="140">
        <f t="shared" si="53"/>
        <v>1.0751999999999999</v>
      </c>
    </row>
    <row r="1054" spans="2:10" x14ac:dyDescent="0.25">
      <c r="B1054" s="166">
        <v>7307</v>
      </c>
      <c r="C1054" s="151" t="s">
        <v>1</v>
      </c>
      <c r="D1054" s="84" t="s">
        <v>444</v>
      </c>
      <c r="E1054" s="75" t="s">
        <v>443</v>
      </c>
      <c r="F1054" s="140">
        <v>1</v>
      </c>
      <c r="G1054" s="77">
        <v>0.1</v>
      </c>
      <c r="H1054" s="139">
        <v>34.43</v>
      </c>
      <c r="I1054" s="140">
        <f t="shared" si="53"/>
        <v>3.4430000000000001</v>
      </c>
    </row>
    <row r="1055" spans="2:10" x14ac:dyDescent="0.25">
      <c r="B1055" s="166">
        <v>7292</v>
      </c>
      <c r="C1055" s="151" t="s">
        <v>1</v>
      </c>
      <c r="D1055" s="84" t="s">
        <v>442</v>
      </c>
      <c r="E1055" s="75" t="s">
        <v>443</v>
      </c>
      <c r="F1055" s="140">
        <v>1</v>
      </c>
      <c r="G1055" s="77">
        <v>0.16</v>
      </c>
      <c r="H1055" s="139">
        <v>29.14</v>
      </c>
      <c r="I1055" s="140">
        <f t="shared" si="53"/>
        <v>4.6623999999999999</v>
      </c>
    </row>
    <row r="1056" spans="2:10" ht="14.4" thickBot="1" x14ac:dyDescent="0.3">
      <c r="B1056" s="166" t="s">
        <v>449</v>
      </c>
      <c r="C1056" s="151" t="s">
        <v>450</v>
      </c>
      <c r="D1056" s="84" t="s">
        <v>451</v>
      </c>
      <c r="E1056" s="75" t="s">
        <v>22</v>
      </c>
      <c r="F1056" s="140">
        <v>1</v>
      </c>
      <c r="G1056" s="77">
        <v>8</v>
      </c>
      <c r="H1056" s="139">
        <v>450</v>
      </c>
      <c r="I1056" s="140">
        <f t="shared" si="53"/>
        <v>3600</v>
      </c>
      <c r="J1056" s="104"/>
    </row>
    <row r="1057" spans="2:12" ht="14.4" thickBot="1" x14ac:dyDescent="0.3">
      <c r="B1057" s="328" t="s">
        <v>28</v>
      </c>
      <c r="C1057" s="328"/>
      <c r="D1057" s="141"/>
      <c r="E1057" s="226" t="s">
        <v>22</v>
      </c>
      <c r="F1057" s="226" t="s">
        <v>23</v>
      </c>
      <c r="G1057" s="88" t="s">
        <v>24</v>
      </c>
      <c r="H1057" s="89" t="s">
        <v>25</v>
      </c>
      <c r="I1057" s="226" t="s">
        <v>26</v>
      </c>
    </row>
    <row r="1058" spans="2:12" x14ac:dyDescent="0.25">
      <c r="B1058" s="166">
        <v>88267</v>
      </c>
      <c r="C1058" s="151" t="s">
        <v>1</v>
      </c>
      <c r="D1058" s="84" t="s">
        <v>253</v>
      </c>
      <c r="E1058" s="75" t="s">
        <v>2</v>
      </c>
      <c r="F1058" s="140">
        <v>1</v>
      </c>
      <c r="G1058" s="77">
        <f>(1.12+0.2)</f>
        <v>1.32</v>
      </c>
      <c r="H1058" s="139">
        <v>18.72</v>
      </c>
      <c r="I1058" s="140">
        <f>F1058*G1058*H1058</f>
        <v>24.7104</v>
      </c>
    </row>
    <row r="1059" spans="2:12" x14ac:dyDescent="0.25">
      <c r="B1059" s="166">
        <v>88248</v>
      </c>
      <c r="C1059" s="151" t="s">
        <v>1</v>
      </c>
      <c r="D1059" s="84" t="s">
        <v>252</v>
      </c>
      <c r="E1059" s="75" t="s">
        <v>2</v>
      </c>
      <c r="F1059" s="140">
        <v>1</v>
      </c>
      <c r="G1059" s="77">
        <v>1.1200000000000001</v>
      </c>
      <c r="H1059" s="139">
        <v>15.54</v>
      </c>
      <c r="I1059" s="140">
        <f>F1059*G1059*H1059</f>
        <v>17.404800000000002</v>
      </c>
    </row>
    <row r="1060" spans="2:12" x14ac:dyDescent="0.25">
      <c r="B1060" s="166">
        <v>88310</v>
      </c>
      <c r="C1060" s="151" t="s">
        <v>1</v>
      </c>
      <c r="D1060" s="84" t="s">
        <v>438</v>
      </c>
      <c r="E1060" s="75" t="s">
        <v>2</v>
      </c>
      <c r="F1060" s="140">
        <v>1</v>
      </c>
      <c r="G1060" s="77">
        <v>0.57999999999999996</v>
      </c>
      <c r="H1060" s="139">
        <v>19.940000000000001</v>
      </c>
      <c r="I1060" s="140">
        <f>F1060*G1060*H1060</f>
        <v>11.565200000000001</v>
      </c>
    </row>
    <row r="1061" spans="2:12" ht="14.4" thickBot="1" x14ac:dyDescent="0.3">
      <c r="B1061" s="166">
        <v>100301</v>
      </c>
      <c r="C1061" s="151" t="s">
        <v>1</v>
      </c>
      <c r="D1061" s="84" t="s">
        <v>439</v>
      </c>
      <c r="E1061" s="75" t="s">
        <v>2</v>
      </c>
      <c r="F1061" s="140">
        <v>1</v>
      </c>
      <c r="G1061" s="77">
        <v>0.57999999999999996</v>
      </c>
      <c r="H1061" s="139">
        <v>17.23</v>
      </c>
      <c r="I1061" s="140">
        <f>F1061*G1061*H1061</f>
        <v>9.9933999999999994</v>
      </c>
    </row>
    <row r="1062" spans="2:12" ht="14.4" thickBot="1" x14ac:dyDescent="0.3">
      <c r="B1062" s="328" t="s">
        <v>29</v>
      </c>
      <c r="C1062" s="328"/>
      <c r="D1062" s="328"/>
      <c r="E1062" s="328"/>
      <c r="F1062" s="328"/>
      <c r="G1062" s="328"/>
      <c r="H1062" s="328"/>
      <c r="I1062" s="296">
        <f>SUM(I1040:I1061)</f>
        <v>7283.6744000000017</v>
      </c>
    </row>
    <row r="1063" spans="2:12" s="90" customFormat="1" ht="10.199999999999999" x14ac:dyDescent="0.25">
      <c r="B1063" s="166"/>
      <c r="C1063" s="223" t="s">
        <v>30</v>
      </c>
      <c r="D1063" s="90" t="s">
        <v>440</v>
      </c>
      <c r="E1063" s="75"/>
      <c r="F1063" s="75"/>
      <c r="G1063" s="85"/>
      <c r="H1063" s="139"/>
      <c r="I1063" s="293"/>
      <c r="L1063" s="85"/>
    </row>
    <row r="1064" spans="2:12" x14ac:dyDescent="0.25">
      <c r="B1064" s="166"/>
      <c r="C1064" s="223"/>
      <c r="E1064" s="75"/>
      <c r="F1064" s="75"/>
      <c r="G1064" s="85"/>
      <c r="H1064" s="139"/>
      <c r="I1064" s="295"/>
    </row>
    <row r="1065" spans="2:12" ht="14.4" thickBot="1" x14ac:dyDescent="0.3">
      <c r="B1065" s="166"/>
      <c r="C1065" s="223"/>
      <c r="E1065" s="75"/>
      <c r="F1065" s="75"/>
      <c r="G1065" s="85"/>
      <c r="H1065" s="139"/>
      <c r="I1065" s="292"/>
    </row>
    <row r="1066" spans="2:12" ht="14.4" thickBot="1" x14ac:dyDescent="0.3">
      <c r="B1066" s="330" t="s">
        <v>18</v>
      </c>
      <c r="C1066" s="330"/>
      <c r="D1066" s="331" t="s">
        <v>19</v>
      </c>
      <c r="E1066" s="331"/>
      <c r="F1066" s="331"/>
      <c r="G1066" s="331"/>
      <c r="H1066" s="331"/>
      <c r="I1066" s="291" t="s">
        <v>20</v>
      </c>
    </row>
    <row r="1067" spans="2:12" ht="14.4" thickBot="1" x14ac:dyDescent="0.3">
      <c r="B1067" s="329" t="s">
        <v>753</v>
      </c>
      <c r="C1067" s="329"/>
      <c r="D1067" s="332" t="s">
        <v>654</v>
      </c>
      <c r="E1067" s="332"/>
      <c r="F1067" s="332"/>
      <c r="G1067" s="332"/>
      <c r="H1067" s="332"/>
      <c r="I1067" s="80" t="s">
        <v>472</v>
      </c>
    </row>
    <row r="1068" spans="2:12" ht="14.4" thickBot="1" x14ac:dyDescent="0.3">
      <c r="B1068" s="328" t="s">
        <v>21</v>
      </c>
      <c r="C1068" s="328"/>
      <c r="D1068" s="141"/>
      <c r="E1068" s="226" t="s">
        <v>22</v>
      </c>
      <c r="F1068" s="226" t="s">
        <v>23</v>
      </c>
      <c r="G1068" s="88" t="s">
        <v>24</v>
      </c>
      <c r="H1068" s="89" t="s">
        <v>25</v>
      </c>
      <c r="I1068" s="226" t="s">
        <v>26</v>
      </c>
    </row>
    <row r="1069" spans="2:12" ht="21" thickBot="1" x14ac:dyDescent="0.3">
      <c r="B1069" s="166">
        <v>1562</v>
      </c>
      <c r="C1069" s="151" t="s">
        <v>1</v>
      </c>
      <c r="D1069" s="84" t="s">
        <v>650</v>
      </c>
      <c r="E1069" s="75" t="s">
        <v>22</v>
      </c>
      <c r="F1069" s="140">
        <v>1</v>
      </c>
      <c r="G1069" s="77">
        <v>1</v>
      </c>
      <c r="H1069" s="139">
        <v>12.47</v>
      </c>
      <c r="I1069" s="140">
        <f>F1069*G1069*H1069</f>
        <v>12.47</v>
      </c>
    </row>
    <row r="1070" spans="2:12" ht="14.4" thickBot="1" x14ac:dyDescent="0.3">
      <c r="B1070" s="328" t="s">
        <v>28</v>
      </c>
      <c r="C1070" s="328"/>
      <c r="D1070" s="141"/>
      <c r="E1070" s="226" t="s">
        <v>22</v>
      </c>
      <c r="F1070" s="226" t="s">
        <v>23</v>
      </c>
      <c r="G1070" s="88" t="s">
        <v>24</v>
      </c>
      <c r="H1070" s="89" t="s">
        <v>25</v>
      </c>
      <c r="I1070" s="226" t="s">
        <v>26</v>
      </c>
    </row>
    <row r="1071" spans="2:12" x14ac:dyDescent="0.25">
      <c r="B1071" s="166">
        <v>88316</v>
      </c>
      <c r="C1071" s="151" t="s">
        <v>1</v>
      </c>
      <c r="D1071" s="84" t="s">
        <v>651</v>
      </c>
      <c r="E1071" s="75" t="s">
        <v>2</v>
      </c>
      <c r="F1071" s="140">
        <v>1</v>
      </c>
      <c r="G1071" s="77">
        <v>0.1</v>
      </c>
      <c r="H1071" s="139">
        <v>15.16</v>
      </c>
      <c r="I1071" s="140">
        <f t="shared" ref="I1071" si="54">F1071*G1071*H1071</f>
        <v>1.516</v>
      </c>
    </row>
    <row r="1072" spans="2:12" ht="14.4" thickBot="1" x14ac:dyDescent="0.3">
      <c r="B1072" s="166">
        <v>88264</v>
      </c>
      <c r="C1072" s="151" t="s">
        <v>1</v>
      </c>
      <c r="D1072" s="84" t="s">
        <v>3</v>
      </c>
      <c r="E1072" s="75" t="s">
        <v>2</v>
      </c>
      <c r="F1072" s="140">
        <v>1</v>
      </c>
      <c r="G1072" s="77">
        <v>0.1</v>
      </c>
      <c r="H1072" s="139">
        <v>19.53</v>
      </c>
      <c r="I1072" s="140">
        <f>F1072*G1072*H1072</f>
        <v>1.9530000000000003</v>
      </c>
    </row>
    <row r="1073" spans="2:12" ht="14.4" thickBot="1" x14ac:dyDescent="0.3">
      <c r="B1073" s="328" t="s">
        <v>29</v>
      </c>
      <c r="C1073" s="328"/>
      <c r="D1073" s="328"/>
      <c r="E1073" s="328"/>
      <c r="F1073" s="328"/>
      <c r="G1073" s="328"/>
      <c r="H1073" s="328"/>
      <c r="I1073" s="296">
        <f>SUM(I1069:I1072)</f>
        <v>15.939</v>
      </c>
    </row>
    <row r="1074" spans="2:12" s="90" customFormat="1" ht="10.199999999999999" x14ac:dyDescent="0.25">
      <c r="B1074" s="166"/>
      <c r="C1074" s="223" t="s">
        <v>30</v>
      </c>
      <c r="D1074" s="90" t="s">
        <v>652</v>
      </c>
      <c r="E1074" s="75"/>
      <c r="F1074" s="75"/>
      <c r="G1074" s="85"/>
      <c r="H1074" s="139"/>
      <c r="I1074" s="293"/>
      <c r="L1074" s="85"/>
    </row>
    <row r="1075" spans="2:12" x14ac:dyDescent="0.25">
      <c r="B1075" s="166"/>
      <c r="C1075" s="223"/>
      <c r="E1075" s="75"/>
      <c r="F1075" s="75"/>
      <c r="G1075" s="85"/>
      <c r="H1075" s="139"/>
      <c r="I1075" s="295"/>
    </row>
    <row r="1076" spans="2:12" ht="14.4" thickBot="1" x14ac:dyDescent="0.3">
      <c r="B1076" s="166"/>
      <c r="C1076" s="223"/>
      <c r="E1076" s="75"/>
      <c r="F1076" s="75"/>
      <c r="G1076" s="85"/>
      <c r="H1076" s="139"/>
      <c r="I1076" s="292"/>
    </row>
    <row r="1077" spans="2:12" ht="14.4" thickBot="1" x14ac:dyDescent="0.3">
      <c r="B1077" s="330" t="s">
        <v>18</v>
      </c>
      <c r="C1077" s="330"/>
      <c r="D1077" s="331" t="s">
        <v>19</v>
      </c>
      <c r="E1077" s="331"/>
      <c r="F1077" s="331"/>
      <c r="G1077" s="331"/>
      <c r="H1077" s="331"/>
      <c r="I1077" s="291" t="s">
        <v>20</v>
      </c>
    </row>
    <row r="1078" spans="2:12" ht="15" customHeight="1" thickBot="1" x14ac:dyDescent="0.3">
      <c r="B1078" s="329" t="s">
        <v>779</v>
      </c>
      <c r="C1078" s="329"/>
      <c r="D1078" s="332" t="s">
        <v>678</v>
      </c>
      <c r="E1078" s="332"/>
      <c r="F1078" s="332"/>
      <c r="G1078" s="332"/>
      <c r="H1078" s="332"/>
      <c r="I1078" s="80" t="s">
        <v>472</v>
      </c>
    </row>
    <row r="1079" spans="2:12" ht="14.4" thickBot="1" x14ac:dyDescent="0.3">
      <c r="B1079" s="328" t="s">
        <v>21</v>
      </c>
      <c r="C1079" s="328"/>
      <c r="D1079" s="141"/>
      <c r="E1079" s="226" t="s">
        <v>22</v>
      </c>
      <c r="F1079" s="226" t="s">
        <v>23</v>
      </c>
      <c r="G1079" s="88" t="s">
        <v>24</v>
      </c>
      <c r="H1079" s="89" t="s">
        <v>25</v>
      </c>
      <c r="I1079" s="226" t="s">
        <v>26</v>
      </c>
    </row>
    <row r="1080" spans="2:12" ht="14.4" x14ac:dyDescent="0.25">
      <c r="B1080" s="166"/>
      <c r="C1080" s="151" t="s">
        <v>206</v>
      </c>
      <c r="D1080" s="84" t="s">
        <v>658</v>
      </c>
      <c r="E1080" s="75" t="s">
        <v>22</v>
      </c>
      <c r="F1080" s="140">
        <v>1</v>
      </c>
      <c r="G1080" s="77">
        <v>1</v>
      </c>
      <c r="H1080" s="139">
        <v>231.2</v>
      </c>
      <c r="I1080" s="140">
        <f>F1080*G1080*H1080</f>
        <v>231.2</v>
      </c>
      <c r="J1080" s="104"/>
      <c r="K1080" s="39"/>
    </row>
    <row r="1081" spans="2:12" ht="15" thickBot="1" x14ac:dyDescent="0.3">
      <c r="B1081" s="166"/>
      <c r="C1081" s="151" t="s">
        <v>206</v>
      </c>
      <c r="D1081" s="84" t="s">
        <v>677</v>
      </c>
      <c r="E1081" s="75" t="s">
        <v>22</v>
      </c>
      <c r="F1081" s="140">
        <v>1</v>
      </c>
      <c r="G1081" s="77">
        <v>1</v>
      </c>
      <c r="H1081" s="139">
        <v>61.78</v>
      </c>
      <c r="I1081" s="140">
        <f>F1081*G1081*H1081</f>
        <v>61.78</v>
      </c>
      <c r="J1081" s="104"/>
      <c r="K1081" s="39"/>
    </row>
    <row r="1082" spans="2:12" ht="14.4" thickBot="1" x14ac:dyDescent="0.3">
      <c r="B1082" s="328" t="s">
        <v>28</v>
      </c>
      <c r="C1082" s="328"/>
      <c r="D1082" s="141"/>
      <c r="E1082" s="226" t="s">
        <v>22</v>
      </c>
      <c r="F1082" s="226" t="s">
        <v>23</v>
      </c>
      <c r="G1082" s="88" t="s">
        <v>24</v>
      </c>
      <c r="H1082" s="89" t="s">
        <v>25</v>
      </c>
      <c r="I1082" s="226" t="s">
        <v>26</v>
      </c>
    </row>
    <row r="1083" spans="2:12" x14ac:dyDescent="0.25">
      <c r="B1083" s="166">
        <v>88247</v>
      </c>
      <c r="C1083" s="151" t="s">
        <v>1</v>
      </c>
      <c r="D1083" s="84" t="s">
        <v>719</v>
      </c>
      <c r="E1083" s="75" t="s">
        <v>2</v>
      </c>
      <c r="F1083" s="140">
        <v>1</v>
      </c>
      <c r="G1083" s="77">
        <v>0.34599999999999997</v>
      </c>
      <c r="H1083" s="139">
        <v>15.19</v>
      </c>
      <c r="I1083" s="140">
        <f t="shared" ref="I1083" si="55">F1083*G1083*H1083</f>
        <v>5.2557399999999994</v>
      </c>
    </row>
    <row r="1084" spans="2:12" ht="14.4" thickBot="1" x14ac:dyDescent="0.3">
      <c r="B1084" s="166">
        <v>88264</v>
      </c>
      <c r="C1084" s="151" t="s">
        <v>1</v>
      </c>
      <c r="D1084" s="84" t="s">
        <v>3</v>
      </c>
      <c r="E1084" s="75" t="s">
        <v>2</v>
      </c>
      <c r="F1084" s="140">
        <v>1</v>
      </c>
      <c r="G1084" s="77">
        <v>0.34599999999999997</v>
      </c>
      <c r="H1084" s="139">
        <v>19.53</v>
      </c>
      <c r="I1084" s="140">
        <f>F1084*G1084*H1084</f>
        <v>6.7573799999999995</v>
      </c>
    </row>
    <row r="1085" spans="2:12" ht="14.4" thickBot="1" x14ac:dyDescent="0.3">
      <c r="B1085" s="328" t="s">
        <v>29</v>
      </c>
      <c r="C1085" s="328"/>
      <c r="D1085" s="328"/>
      <c r="E1085" s="328"/>
      <c r="F1085" s="328"/>
      <c r="G1085" s="328"/>
      <c r="H1085" s="328"/>
      <c r="I1085" s="296">
        <f>SUM(I1080:I1084)</f>
        <v>304.99312000000003</v>
      </c>
    </row>
    <row r="1086" spans="2:12" s="90" customFormat="1" ht="10.199999999999999" x14ac:dyDescent="0.25">
      <c r="B1086" s="166"/>
      <c r="C1086" s="223" t="s">
        <v>30</v>
      </c>
      <c r="D1086" s="90" t="s">
        <v>659</v>
      </c>
      <c r="E1086" s="75"/>
      <c r="F1086" s="75"/>
      <c r="G1086" s="85"/>
      <c r="H1086" s="139"/>
      <c r="I1086" s="293"/>
      <c r="L1086" s="85"/>
    </row>
    <row r="1087" spans="2:12" x14ac:dyDescent="0.25">
      <c r="B1087" s="166"/>
      <c r="C1087" s="223"/>
      <c r="E1087" s="75"/>
      <c r="F1087" s="75"/>
      <c r="G1087" s="85"/>
      <c r="H1087" s="139"/>
      <c r="I1087" s="295"/>
    </row>
    <row r="1088" spans="2:12" ht="14.4" thickBot="1" x14ac:dyDescent="0.3">
      <c r="B1088" s="166"/>
      <c r="C1088" s="223"/>
      <c r="E1088" s="75"/>
      <c r="F1088" s="75"/>
      <c r="G1088" s="85"/>
      <c r="H1088" s="139"/>
      <c r="I1088" s="292"/>
    </row>
    <row r="1089" spans="2:12" ht="14.4" thickBot="1" x14ac:dyDescent="0.3">
      <c r="B1089" s="330" t="s">
        <v>18</v>
      </c>
      <c r="C1089" s="330"/>
      <c r="D1089" s="331" t="s">
        <v>19</v>
      </c>
      <c r="E1089" s="331"/>
      <c r="F1089" s="331"/>
      <c r="G1089" s="331"/>
      <c r="H1089" s="331"/>
      <c r="I1089" s="291" t="s">
        <v>20</v>
      </c>
    </row>
    <row r="1090" spans="2:12" ht="14.4" thickBot="1" x14ac:dyDescent="0.3">
      <c r="B1090" s="329" t="s">
        <v>785</v>
      </c>
      <c r="C1090" s="329"/>
      <c r="D1090" s="332" t="s">
        <v>1235</v>
      </c>
      <c r="E1090" s="332"/>
      <c r="F1090" s="332"/>
      <c r="G1090" s="332"/>
      <c r="H1090" s="332"/>
      <c r="I1090" s="80" t="s">
        <v>472</v>
      </c>
    </row>
    <row r="1091" spans="2:12" ht="14.4" thickBot="1" x14ac:dyDescent="0.3">
      <c r="B1091" s="328" t="s">
        <v>21</v>
      </c>
      <c r="C1091" s="328"/>
      <c r="D1091" s="141"/>
      <c r="E1091" s="226" t="s">
        <v>22</v>
      </c>
      <c r="F1091" s="226" t="s">
        <v>23</v>
      </c>
      <c r="G1091" s="88" t="s">
        <v>24</v>
      </c>
      <c r="H1091" s="89" t="s">
        <v>25</v>
      </c>
      <c r="I1091" s="226" t="s">
        <v>26</v>
      </c>
    </row>
    <row r="1092" spans="2:12" x14ac:dyDescent="0.25">
      <c r="B1092" s="166"/>
      <c r="C1092" s="151" t="s">
        <v>206</v>
      </c>
      <c r="D1092" s="84" t="s">
        <v>663</v>
      </c>
      <c r="E1092" s="75" t="s">
        <v>22</v>
      </c>
      <c r="F1092" s="140">
        <v>1</v>
      </c>
      <c r="G1092" s="77">
        <v>1</v>
      </c>
      <c r="H1092" s="139">
        <v>11.9</v>
      </c>
      <c r="I1092" s="140">
        <f>F1092*G1092*H1092</f>
        <v>11.9</v>
      </c>
      <c r="J1092" s="104"/>
    </row>
    <row r="1093" spans="2:12" ht="14.4" thickBot="1" x14ac:dyDescent="0.3">
      <c r="B1093" s="166">
        <v>131</v>
      </c>
      <c r="C1093" s="151" t="s">
        <v>1</v>
      </c>
      <c r="D1093" s="84" t="s">
        <v>662</v>
      </c>
      <c r="E1093" s="75" t="s">
        <v>82</v>
      </c>
      <c r="F1093" s="140">
        <v>1.5</v>
      </c>
      <c r="G1093" s="77">
        <v>3.0000000000000001E-3</v>
      </c>
      <c r="H1093" s="139">
        <v>34.6</v>
      </c>
      <c r="I1093" s="140">
        <f>F1093*G1093*H1093</f>
        <v>0.15570000000000003</v>
      </c>
    </row>
    <row r="1094" spans="2:12" ht="14.4" thickBot="1" x14ac:dyDescent="0.3">
      <c r="B1094" s="328" t="s">
        <v>28</v>
      </c>
      <c r="C1094" s="328"/>
      <c r="D1094" s="141"/>
      <c r="E1094" s="226" t="s">
        <v>22</v>
      </c>
      <c r="F1094" s="226" t="s">
        <v>23</v>
      </c>
      <c r="G1094" s="88" t="s">
        <v>24</v>
      </c>
      <c r="H1094" s="89" t="s">
        <v>25</v>
      </c>
      <c r="I1094" s="226" t="s">
        <v>26</v>
      </c>
    </row>
    <row r="1095" spans="2:12" ht="14.4" thickBot="1" x14ac:dyDescent="0.3">
      <c r="B1095" s="166">
        <v>88309</v>
      </c>
      <c r="C1095" s="151" t="s">
        <v>1</v>
      </c>
      <c r="D1095" s="84" t="s">
        <v>87</v>
      </c>
      <c r="E1095" s="75" t="s">
        <v>2</v>
      </c>
      <c r="F1095" s="140">
        <v>0.25</v>
      </c>
      <c r="G1095" s="77">
        <v>3.0000000000000001E-3</v>
      </c>
      <c r="H1095" s="139">
        <v>18.86</v>
      </c>
      <c r="I1095" s="140">
        <f>F1095*G1095*H1095</f>
        <v>1.4145E-2</v>
      </c>
    </row>
    <row r="1096" spans="2:12" ht="14.4" thickBot="1" x14ac:dyDescent="0.3">
      <c r="B1096" s="328" t="s">
        <v>29</v>
      </c>
      <c r="C1096" s="328"/>
      <c r="D1096" s="328"/>
      <c r="E1096" s="328"/>
      <c r="F1096" s="328"/>
      <c r="G1096" s="328"/>
      <c r="H1096" s="328"/>
      <c r="I1096" s="296">
        <f>SUM(I1092:I1095)</f>
        <v>12.069844999999999</v>
      </c>
    </row>
    <row r="1097" spans="2:12" s="90" customFormat="1" ht="10.199999999999999" x14ac:dyDescent="0.25">
      <c r="B1097" s="166"/>
      <c r="C1097" s="223" t="s">
        <v>30</v>
      </c>
      <c r="D1097" s="90" t="s">
        <v>661</v>
      </c>
      <c r="E1097" s="75"/>
      <c r="F1097" s="75"/>
      <c r="G1097" s="85"/>
      <c r="H1097" s="139"/>
      <c r="I1097" s="293"/>
      <c r="L1097" s="85"/>
    </row>
    <row r="1098" spans="2:12" x14ac:dyDescent="0.25">
      <c r="B1098" s="166"/>
      <c r="C1098" s="223"/>
      <c r="E1098" s="75"/>
      <c r="F1098" s="75"/>
      <c r="G1098" s="85"/>
      <c r="H1098" s="139"/>
      <c r="I1098" s="295"/>
    </row>
    <row r="1099" spans="2:12" ht="14.4" thickBot="1" x14ac:dyDescent="0.3">
      <c r="B1099" s="166"/>
      <c r="C1099" s="223"/>
      <c r="E1099" s="75"/>
      <c r="F1099" s="75"/>
      <c r="G1099" s="85"/>
      <c r="H1099" s="139"/>
      <c r="I1099" s="292"/>
    </row>
    <row r="1100" spans="2:12" ht="14.4" thickBot="1" x14ac:dyDescent="0.3">
      <c r="B1100" s="330" t="s">
        <v>18</v>
      </c>
      <c r="C1100" s="330"/>
      <c r="D1100" s="331" t="s">
        <v>19</v>
      </c>
      <c r="E1100" s="331"/>
      <c r="F1100" s="331"/>
      <c r="G1100" s="331"/>
      <c r="H1100" s="331"/>
      <c r="I1100" s="291" t="s">
        <v>20</v>
      </c>
    </row>
    <row r="1101" spans="2:12" ht="14.4" thickBot="1" x14ac:dyDescent="0.3">
      <c r="B1101" s="329" t="s">
        <v>790</v>
      </c>
      <c r="C1101" s="329"/>
      <c r="D1101" s="332" t="s">
        <v>1233</v>
      </c>
      <c r="E1101" s="332"/>
      <c r="F1101" s="332"/>
      <c r="G1101" s="332"/>
      <c r="H1101" s="332"/>
      <c r="I1101" s="80" t="s">
        <v>8</v>
      </c>
    </row>
    <row r="1102" spans="2:12" ht="14.4" thickBot="1" x14ac:dyDescent="0.3">
      <c r="B1102" s="328" t="s">
        <v>21</v>
      </c>
      <c r="C1102" s="328"/>
      <c r="D1102" s="141"/>
      <c r="E1102" s="226" t="s">
        <v>22</v>
      </c>
      <c r="F1102" s="226" t="s">
        <v>23</v>
      </c>
      <c r="G1102" s="88" t="s">
        <v>24</v>
      </c>
      <c r="H1102" s="89" t="s">
        <v>25</v>
      </c>
      <c r="I1102" s="226" t="s">
        <v>26</v>
      </c>
    </row>
    <row r="1103" spans="2:12" ht="14.4" thickBot="1" x14ac:dyDescent="0.3">
      <c r="B1103" s="166">
        <v>41106</v>
      </c>
      <c r="C1103" s="151" t="s">
        <v>668</v>
      </c>
      <c r="D1103" s="84" t="s">
        <v>667</v>
      </c>
      <c r="E1103" s="75" t="s">
        <v>8</v>
      </c>
      <c r="F1103" s="140">
        <v>1</v>
      </c>
      <c r="G1103" s="77">
        <v>1.05</v>
      </c>
      <c r="H1103" s="139">
        <v>50.73</v>
      </c>
      <c r="I1103" s="140">
        <f>F1103*G1103*H1103</f>
        <v>53.266500000000001</v>
      </c>
      <c r="J1103" s="104"/>
    </row>
    <row r="1104" spans="2:12" ht="14.4" thickBot="1" x14ac:dyDescent="0.3">
      <c r="B1104" s="328" t="s">
        <v>28</v>
      </c>
      <c r="C1104" s="328"/>
      <c r="D1104" s="141"/>
      <c r="E1104" s="226" t="s">
        <v>22</v>
      </c>
      <c r="F1104" s="226" t="s">
        <v>23</v>
      </c>
      <c r="G1104" s="88" t="s">
        <v>24</v>
      </c>
      <c r="H1104" s="89" t="s">
        <v>25</v>
      </c>
      <c r="I1104" s="226" t="s">
        <v>26</v>
      </c>
    </row>
    <row r="1105" spans="2:12" x14ac:dyDescent="0.25">
      <c r="B1105" s="166">
        <v>88264</v>
      </c>
      <c r="C1105" s="151" t="s">
        <v>1</v>
      </c>
      <c r="D1105" s="84" t="s">
        <v>3</v>
      </c>
      <c r="E1105" s="75" t="s">
        <v>2</v>
      </c>
      <c r="F1105" s="140">
        <v>1</v>
      </c>
      <c r="G1105" s="77">
        <v>0.3</v>
      </c>
      <c r="H1105" s="139">
        <v>19.53</v>
      </c>
      <c r="I1105" s="140">
        <f>F1105*G1105*H1105</f>
        <v>5.859</v>
      </c>
    </row>
    <row r="1106" spans="2:12" ht="14.4" thickBot="1" x14ac:dyDescent="0.3">
      <c r="B1106" s="166">
        <v>88242</v>
      </c>
      <c r="C1106" s="151" t="s">
        <v>1</v>
      </c>
      <c r="D1106" s="84" t="s">
        <v>666</v>
      </c>
      <c r="E1106" s="75" t="s">
        <v>2</v>
      </c>
      <c r="F1106" s="140">
        <v>1</v>
      </c>
      <c r="G1106" s="77">
        <v>0.3</v>
      </c>
      <c r="H1106" s="139">
        <v>15.22</v>
      </c>
      <c r="I1106" s="140">
        <f>F1106*G1106*H1106</f>
        <v>4.5659999999999998</v>
      </c>
    </row>
    <row r="1107" spans="2:12" ht="14.4" thickBot="1" x14ac:dyDescent="0.3">
      <c r="B1107" s="328" t="s">
        <v>29</v>
      </c>
      <c r="C1107" s="328"/>
      <c r="D1107" s="328"/>
      <c r="E1107" s="328"/>
      <c r="F1107" s="328"/>
      <c r="G1107" s="328"/>
      <c r="H1107" s="328"/>
      <c r="I1107" s="296">
        <f>SUM(I1103:I1106)</f>
        <v>63.691500000000005</v>
      </c>
    </row>
    <row r="1108" spans="2:12" s="90" customFormat="1" ht="10.199999999999999" x14ac:dyDescent="0.25">
      <c r="B1108" s="166"/>
      <c r="C1108" s="223" t="s">
        <v>30</v>
      </c>
      <c r="D1108" s="90" t="s">
        <v>665</v>
      </c>
      <c r="E1108" s="75"/>
      <c r="F1108" s="75"/>
      <c r="G1108" s="85"/>
      <c r="H1108" s="139"/>
      <c r="I1108" s="293"/>
      <c r="L1108" s="85"/>
    </row>
    <row r="1109" spans="2:12" x14ac:dyDescent="0.25">
      <c r="B1109" s="166"/>
      <c r="C1109" s="223"/>
      <c r="E1109" s="75"/>
      <c r="F1109" s="75"/>
      <c r="G1109" s="85"/>
      <c r="H1109" s="139"/>
      <c r="I1109" s="295"/>
    </row>
    <row r="1110" spans="2:12" ht="14.4" thickBot="1" x14ac:dyDescent="0.3">
      <c r="B1110" s="166"/>
      <c r="C1110" s="223"/>
      <c r="E1110" s="75"/>
      <c r="F1110" s="75"/>
      <c r="G1110" s="85"/>
      <c r="H1110" s="139"/>
      <c r="I1110" s="292"/>
    </row>
    <row r="1111" spans="2:12" ht="14.4" thickBot="1" x14ac:dyDescent="0.3">
      <c r="B1111" s="330" t="s">
        <v>18</v>
      </c>
      <c r="C1111" s="330"/>
      <c r="D1111" s="331" t="s">
        <v>19</v>
      </c>
      <c r="E1111" s="331"/>
      <c r="F1111" s="331"/>
      <c r="G1111" s="331"/>
      <c r="H1111" s="331"/>
      <c r="I1111" s="291" t="s">
        <v>20</v>
      </c>
    </row>
    <row r="1112" spans="2:12" ht="14.4" thickBot="1" x14ac:dyDescent="0.3">
      <c r="B1112" s="329" t="s">
        <v>797</v>
      </c>
      <c r="C1112" s="329"/>
      <c r="D1112" s="332" t="s">
        <v>729</v>
      </c>
      <c r="E1112" s="332"/>
      <c r="F1112" s="332"/>
      <c r="G1112" s="332"/>
      <c r="H1112" s="332"/>
      <c r="I1112" s="80" t="s">
        <v>472</v>
      </c>
    </row>
    <row r="1113" spans="2:12" ht="14.4" thickBot="1" x14ac:dyDescent="0.3">
      <c r="B1113" s="328" t="s">
        <v>21</v>
      </c>
      <c r="C1113" s="328"/>
      <c r="D1113" s="141"/>
      <c r="E1113" s="226" t="s">
        <v>22</v>
      </c>
      <c r="F1113" s="226" t="s">
        <v>23</v>
      </c>
      <c r="G1113" s="88" t="s">
        <v>24</v>
      </c>
      <c r="H1113" s="89" t="s">
        <v>25</v>
      </c>
      <c r="I1113" s="226" t="s">
        <v>26</v>
      </c>
    </row>
    <row r="1114" spans="2:12" x14ac:dyDescent="0.25">
      <c r="B1114" s="166">
        <v>11205</v>
      </c>
      <c r="C1114" s="151" t="s">
        <v>9</v>
      </c>
      <c r="D1114" s="84" t="s">
        <v>681</v>
      </c>
      <c r="E1114" s="75" t="s">
        <v>472</v>
      </c>
      <c r="F1114" s="140">
        <v>1</v>
      </c>
      <c r="G1114" s="77">
        <v>1</v>
      </c>
      <c r="H1114" s="139">
        <v>11</v>
      </c>
      <c r="I1114" s="140">
        <f t="shared" ref="I1114:I1116" si="56">F1114*G1114*H1114</f>
        <v>11</v>
      </c>
    </row>
    <row r="1115" spans="2:12" x14ac:dyDescent="0.25">
      <c r="B1115" s="166">
        <v>10339</v>
      </c>
      <c r="C1115" s="151" t="s">
        <v>9</v>
      </c>
      <c r="D1115" s="84" t="s">
        <v>684</v>
      </c>
      <c r="E1115" s="75" t="s">
        <v>472</v>
      </c>
      <c r="F1115" s="140">
        <v>1</v>
      </c>
      <c r="G1115" s="77">
        <v>0.02</v>
      </c>
      <c r="H1115" s="139">
        <v>214.09</v>
      </c>
      <c r="I1115" s="140">
        <f t="shared" si="56"/>
        <v>4.2818000000000005</v>
      </c>
    </row>
    <row r="1116" spans="2:12" ht="14.4" thickBot="1" x14ac:dyDescent="0.3">
      <c r="B1116" s="166">
        <v>48772</v>
      </c>
      <c r="C1116" s="151" t="s">
        <v>668</v>
      </c>
      <c r="D1116" s="84" t="s">
        <v>682</v>
      </c>
      <c r="E1116" s="75" t="s">
        <v>472</v>
      </c>
      <c r="F1116" s="140">
        <v>1</v>
      </c>
      <c r="G1116" s="77">
        <v>2E-3</v>
      </c>
      <c r="H1116" s="139">
        <v>126.43</v>
      </c>
      <c r="I1116" s="140">
        <f t="shared" si="56"/>
        <v>0.25286000000000003</v>
      </c>
    </row>
    <row r="1117" spans="2:12" ht="14.4" thickBot="1" x14ac:dyDescent="0.3">
      <c r="B1117" s="328" t="s">
        <v>28</v>
      </c>
      <c r="C1117" s="328"/>
      <c r="D1117" s="141"/>
      <c r="E1117" s="226" t="s">
        <v>22</v>
      </c>
      <c r="F1117" s="226" t="s">
        <v>23</v>
      </c>
      <c r="G1117" s="88" t="s">
        <v>24</v>
      </c>
      <c r="H1117" s="89" t="s">
        <v>25</v>
      </c>
      <c r="I1117" s="226" t="s">
        <v>26</v>
      </c>
    </row>
    <row r="1118" spans="2:12" ht="14.4" thickBot="1" x14ac:dyDescent="0.3">
      <c r="B1118" s="166">
        <v>88264</v>
      </c>
      <c r="C1118" s="151" t="s">
        <v>1</v>
      </c>
      <c r="D1118" s="84" t="s">
        <v>3</v>
      </c>
      <c r="E1118" s="75" t="s">
        <v>2</v>
      </c>
      <c r="F1118" s="140">
        <v>1</v>
      </c>
      <c r="G1118" s="77">
        <v>1</v>
      </c>
      <c r="H1118" s="139">
        <v>19.53</v>
      </c>
      <c r="I1118" s="140">
        <f>F1118*G1118*H1118</f>
        <v>19.53</v>
      </c>
    </row>
    <row r="1119" spans="2:12" ht="14.4" thickBot="1" x14ac:dyDescent="0.3">
      <c r="B1119" s="328" t="s">
        <v>29</v>
      </c>
      <c r="C1119" s="328"/>
      <c r="D1119" s="328"/>
      <c r="E1119" s="328"/>
      <c r="F1119" s="328"/>
      <c r="G1119" s="328"/>
      <c r="H1119" s="328"/>
      <c r="I1119" s="296">
        <f>SUM(I1114:I1118)</f>
        <v>35.064660000000003</v>
      </c>
    </row>
    <row r="1120" spans="2:12" s="90" customFormat="1" ht="10.199999999999999" x14ac:dyDescent="0.25">
      <c r="B1120" s="166"/>
      <c r="C1120" s="223" t="s">
        <v>30</v>
      </c>
      <c r="D1120" s="90" t="s">
        <v>680</v>
      </c>
      <c r="E1120" s="75"/>
      <c r="F1120" s="75"/>
      <c r="G1120" s="85"/>
      <c r="H1120" s="139"/>
      <c r="I1120" s="293"/>
      <c r="L1120" s="85"/>
    </row>
    <row r="1121" spans="2:12" s="90" customFormat="1" ht="10.199999999999999" x14ac:dyDescent="0.25">
      <c r="B1121" s="166"/>
      <c r="C1121" s="223"/>
      <c r="E1121" s="75"/>
      <c r="F1121" s="75"/>
      <c r="G1121" s="85"/>
      <c r="H1121" s="139"/>
      <c r="I1121" s="295"/>
      <c r="L1121" s="85"/>
    </row>
    <row r="1122" spans="2:12" s="90" customFormat="1" ht="10.8" thickBot="1" x14ac:dyDescent="0.3">
      <c r="B1122" s="166"/>
      <c r="C1122" s="223"/>
      <c r="E1122" s="75"/>
      <c r="F1122" s="75"/>
      <c r="G1122" s="85"/>
      <c r="H1122" s="139"/>
      <c r="I1122" s="292"/>
      <c r="L1122" s="85"/>
    </row>
    <row r="1123" spans="2:12" ht="14.4" thickBot="1" x14ac:dyDescent="0.3">
      <c r="B1123" s="330" t="s">
        <v>18</v>
      </c>
      <c r="C1123" s="330"/>
      <c r="D1123" s="331" t="s">
        <v>19</v>
      </c>
      <c r="E1123" s="331"/>
      <c r="F1123" s="331"/>
      <c r="G1123" s="331"/>
      <c r="H1123" s="331"/>
      <c r="I1123" s="291" t="s">
        <v>20</v>
      </c>
    </row>
    <row r="1124" spans="2:12" ht="14.4" thickBot="1" x14ac:dyDescent="0.3">
      <c r="B1124" s="329" t="s">
        <v>808</v>
      </c>
      <c r="C1124" s="329"/>
      <c r="D1124" s="338" t="s">
        <v>952</v>
      </c>
      <c r="E1124" s="338"/>
      <c r="F1124" s="338"/>
      <c r="G1124" s="338"/>
      <c r="H1124" s="338"/>
      <c r="I1124" s="80" t="s">
        <v>472</v>
      </c>
      <c r="L1124" s="163"/>
    </row>
    <row r="1125" spans="2:12" ht="14.4" thickBot="1" x14ac:dyDescent="0.3">
      <c r="B1125" s="328" t="s">
        <v>28</v>
      </c>
      <c r="C1125" s="328"/>
      <c r="D1125" s="141"/>
      <c r="E1125" s="226" t="s">
        <v>22</v>
      </c>
      <c r="F1125" s="226" t="s">
        <v>23</v>
      </c>
      <c r="G1125" s="88" t="s">
        <v>24</v>
      </c>
      <c r="H1125" s="89" t="s">
        <v>25</v>
      </c>
      <c r="I1125" s="226" t="s">
        <v>26</v>
      </c>
      <c r="L1125" s="163"/>
    </row>
    <row r="1126" spans="2:12" ht="14.4" thickBot="1" x14ac:dyDescent="0.3">
      <c r="B1126" s="166">
        <v>91677</v>
      </c>
      <c r="C1126" s="151" t="s">
        <v>1</v>
      </c>
      <c r="D1126" s="84" t="s">
        <v>861</v>
      </c>
      <c r="E1126" s="75" t="s">
        <v>2</v>
      </c>
      <c r="F1126" s="140">
        <v>1</v>
      </c>
      <c r="G1126" s="77">
        <v>40</v>
      </c>
      <c r="H1126" s="139">
        <v>78.489999999999995</v>
      </c>
      <c r="I1126" s="140">
        <f t="shared" ref="I1126" si="57">F1126*G1126*H1126</f>
        <v>3139.6</v>
      </c>
      <c r="L1126" s="163"/>
    </row>
    <row r="1127" spans="2:12" ht="14.4" thickBot="1" x14ac:dyDescent="0.3">
      <c r="B1127" s="328" t="s">
        <v>29</v>
      </c>
      <c r="C1127" s="328"/>
      <c r="D1127" s="328"/>
      <c r="E1127" s="328"/>
      <c r="F1127" s="328"/>
      <c r="G1127" s="328"/>
      <c r="H1127" s="328"/>
      <c r="I1127" s="296">
        <f>SUM(I1126)</f>
        <v>3139.6</v>
      </c>
    </row>
    <row r="1128" spans="2:12" s="90" customFormat="1" ht="10.199999999999999" x14ac:dyDescent="0.25">
      <c r="B1128" s="166"/>
      <c r="C1128" s="223" t="s">
        <v>30</v>
      </c>
      <c r="D1128" s="90" t="s">
        <v>473</v>
      </c>
      <c r="E1128" s="75"/>
      <c r="F1128" s="75"/>
      <c r="G1128" s="85"/>
      <c r="H1128" s="139"/>
      <c r="I1128" s="293"/>
      <c r="L1128" s="85"/>
    </row>
    <row r="1129" spans="2:12" s="90" customFormat="1" ht="10.199999999999999" x14ac:dyDescent="0.25">
      <c r="B1129" s="166"/>
      <c r="C1129" s="223"/>
      <c r="E1129" s="75"/>
      <c r="F1129" s="75"/>
      <c r="G1129" s="85"/>
      <c r="H1129" s="139"/>
      <c r="I1129" s="295"/>
      <c r="L1129" s="85"/>
    </row>
    <row r="1130" spans="2:12" s="90" customFormat="1" ht="10.8" thickBot="1" x14ac:dyDescent="0.3">
      <c r="B1130" s="166"/>
      <c r="C1130" s="223"/>
      <c r="E1130" s="75"/>
      <c r="F1130" s="75"/>
      <c r="G1130" s="85"/>
      <c r="H1130" s="139"/>
      <c r="I1130" s="292"/>
      <c r="L1130" s="85"/>
    </row>
    <row r="1131" spans="2:12" ht="14.4" thickBot="1" x14ac:dyDescent="0.3">
      <c r="B1131" s="330" t="s">
        <v>18</v>
      </c>
      <c r="C1131" s="330"/>
      <c r="D1131" s="331" t="s">
        <v>19</v>
      </c>
      <c r="E1131" s="331"/>
      <c r="F1131" s="331"/>
      <c r="G1131" s="331"/>
      <c r="H1131" s="331"/>
      <c r="I1131" s="291" t="s">
        <v>20</v>
      </c>
    </row>
    <row r="1132" spans="2:12" ht="14.4" thickBot="1" x14ac:dyDescent="0.3">
      <c r="B1132" s="329" t="s">
        <v>812</v>
      </c>
      <c r="C1132" s="329"/>
      <c r="D1132" s="338" t="s">
        <v>637</v>
      </c>
      <c r="E1132" s="338"/>
      <c r="F1132" s="338"/>
      <c r="G1132" s="338"/>
      <c r="H1132" s="338"/>
      <c r="I1132" s="80" t="s">
        <v>37</v>
      </c>
    </row>
    <row r="1133" spans="2:12" ht="14.4" thickBot="1" x14ac:dyDescent="0.3">
      <c r="B1133" s="328" t="s">
        <v>28</v>
      </c>
      <c r="C1133" s="328"/>
      <c r="D1133" s="141"/>
      <c r="E1133" s="226" t="s">
        <v>22</v>
      </c>
      <c r="F1133" s="226" t="s">
        <v>23</v>
      </c>
      <c r="G1133" s="88" t="s">
        <v>24</v>
      </c>
      <c r="H1133" s="89" t="s">
        <v>25</v>
      </c>
      <c r="I1133" s="226" t="s">
        <v>26</v>
      </c>
    </row>
    <row r="1134" spans="2:12" ht="14.4" thickBot="1" x14ac:dyDescent="0.3">
      <c r="B1134" s="166">
        <v>88316</v>
      </c>
      <c r="C1134" s="151" t="s">
        <v>1</v>
      </c>
      <c r="D1134" s="84" t="s">
        <v>43</v>
      </c>
      <c r="E1134" s="75" t="s">
        <v>2</v>
      </c>
      <c r="F1134" s="140">
        <v>1</v>
      </c>
      <c r="G1134" s="77">
        <v>7.0000000000000007E-2</v>
      </c>
      <c r="H1134" s="139">
        <v>15.16</v>
      </c>
      <c r="I1134" s="140">
        <f t="shared" ref="I1134" si="58">F1134*G1134*H1134</f>
        <v>1.0612000000000001</v>
      </c>
    </row>
    <row r="1135" spans="2:12" ht="14.4" thickBot="1" x14ac:dyDescent="0.3">
      <c r="B1135" s="328" t="s">
        <v>29</v>
      </c>
      <c r="C1135" s="328"/>
      <c r="D1135" s="328"/>
      <c r="E1135" s="328"/>
      <c r="F1135" s="328"/>
      <c r="G1135" s="328"/>
      <c r="H1135" s="328"/>
      <c r="I1135" s="296">
        <f>SUM(I1134:I1134)</f>
        <v>1.0612000000000001</v>
      </c>
    </row>
    <row r="1136" spans="2:12" s="90" customFormat="1" ht="10.199999999999999" x14ac:dyDescent="0.25">
      <c r="B1136" s="166"/>
      <c r="C1136" s="223" t="s">
        <v>30</v>
      </c>
      <c r="D1136" s="90" t="s">
        <v>639</v>
      </c>
      <c r="E1136" s="75"/>
      <c r="F1136" s="75"/>
      <c r="G1136" s="85"/>
      <c r="H1136" s="139"/>
      <c r="I1136" s="293"/>
      <c r="L1136" s="85"/>
    </row>
    <row r="1137" spans="2:12" s="90" customFormat="1" ht="10.199999999999999" x14ac:dyDescent="0.25">
      <c r="B1137" s="166"/>
      <c r="C1137" s="223"/>
      <c r="E1137" s="75"/>
      <c r="F1137" s="75"/>
      <c r="G1137" s="85"/>
      <c r="H1137" s="139"/>
      <c r="I1137" s="295"/>
      <c r="L1137" s="85"/>
    </row>
    <row r="1138" spans="2:12" s="90" customFormat="1" ht="10.8" thickBot="1" x14ac:dyDescent="0.3">
      <c r="B1138" s="166"/>
      <c r="C1138" s="223"/>
      <c r="E1138" s="75"/>
      <c r="F1138" s="75"/>
      <c r="G1138" s="85"/>
      <c r="H1138" s="139"/>
      <c r="I1138" s="292"/>
      <c r="L1138" s="85"/>
    </row>
    <row r="1139" spans="2:12" ht="14.4" thickBot="1" x14ac:dyDescent="0.3">
      <c r="B1139" s="330" t="s">
        <v>18</v>
      </c>
      <c r="C1139" s="330"/>
      <c r="D1139" s="331" t="s">
        <v>19</v>
      </c>
      <c r="E1139" s="331"/>
      <c r="F1139" s="331"/>
      <c r="G1139" s="331"/>
      <c r="H1139" s="331"/>
      <c r="I1139" s="291" t="s">
        <v>20</v>
      </c>
    </row>
    <row r="1140" spans="2:12" ht="14.4" thickBot="1" x14ac:dyDescent="0.3">
      <c r="B1140" s="329" t="s">
        <v>837</v>
      </c>
      <c r="C1140" s="329"/>
      <c r="D1140" s="338" t="s">
        <v>868</v>
      </c>
      <c r="E1140" s="338"/>
      <c r="F1140" s="338"/>
      <c r="G1140" s="338"/>
      <c r="H1140" s="338"/>
      <c r="I1140" s="80" t="s">
        <v>472</v>
      </c>
    </row>
    <row r="1141" spans="2:12" ht="14.4" thickBot="1" x14ac:dyDescent="0.3">
      <c r="B1141" s="328" t="s">
        <v>21</v>
      </c>
      <c r="C1141" s="328"/>
      <c r="D1141" s="141"/>
      <c r="E1141" s="226" t="s">
        <v>22</v>
      </c>
      <c r="F1141" s="226" t="s">
        <v>23</v>
      </c>
      <c r="G1141" s="88" t="s">
        <v>24</v>
      </c>
      <c r="H1141" s="89" t="s">
        <v>25</v>
      </c>
      <c r="I1141" s="226" t="s">
        <v>26</v>
      </c>
    </row>
    <row r="1142" spans="2:12" ht="14.4" thickBot="1" x14ac:dyDescent="0.3">
      <c r="B1142" s="166"/>
      <c r="C1142" s="151" t="s">
        <v>941</v>
      </c>
      <c r="D1142" s="84" t="s">
        <v>871</v>
      </c>
      <c r="E1142" s="75" t="s">
        <v>22</v>
      </c>
      <c r="F1142" s="140">
        <v>1</v>
      </c>
      <c r="G1142" s="77">
        <v>1</v>
      </c>
      <c r="H1142" s="139">
        <v>400</v>
      </c>
      <c r="I1142" s="140">
        <f t="shared" ref="I1142:I1145" si="59">F1142*G1142*H1142</f>
        <v>400</v>
      </c>
    </row>
    <row r="1143" spans="2:12" ht="14.4" thickBot="1" x14ac:dyDescent="0.3">
      <c r="B1143" s="328" t="s">
        <v>28</v>
      </c>
      <c r="C1143" s="328"/>
      <c r="D1143" s="141"/>
      <c r="E1143" s="226" t="s">
        <v>22</v>
      </c>
      <c r="F1143" s="226" t="s">
        <v>23</v>
      </c>
      <c r="G1143" s="88" t="s">
        <v>24</v>
      </c>
      <c r="H1143" s="89" t="s">
        <v>25</v>
      </c>
      <c r="I1143" s="226" t="s">
        <v>26</v>
      </c>
    </row>
    <row r="1144" spans="2:12" x14ac:dyDescent="0.25">
      <c r="B1144" s="166">
        <v>88255</v>
      </c>
      <c r="C1144" s="151" t="s">
        <v>1</v>
      </c>
      <c r="D1144" s="84" t="s">
        <v>869</v>
      </c>
      <c r="E1144" s="75" t="s">
        <v>2</v>
      </c>
      <c r="F1144" s="140">
        <v>1</v>
      </c>
      <c r="G1144" s="77">
        <v>6</v>
      </c>
      <c r="H1144" s="139">
        <v>21.94</v>
      </c>
      <c r="I1144" s="140">
        <f t="shared" si="59"/>
        <v>131.64000000000001</v>
      </c>
    </row>
    <row r="1145" spans="2:12" ht="14.4" thickBot="1" x14ac:dyDescent="0.3">
      <c r="B1145" s="166">
        <v>90773</v>
      </c>
      <c r="C1145" s="151" t="s">
        <v>1</v>
      </c>
      <c r="D1145" s="84" t="s">
        <v>870</v>
      </c>
      <c r="E1145" s="75" t="s">
        <v>2</v>
      </c>
      <c r="F1145" s="140">
        <v>1</v>
      </c>
      <c r="G1145" s="77">
        <v>6</v>
      </c>
      <c r="H1145" s="139">
        <v>17.73</v>
      </c>
      <c r="I1145" s="140">
        <f t="shared" si="59"/>
        <v>106.38</v>
      </c>
    </row>
    <row r="1146" spans="2:12" ht="14.4" thickBot="1" x14ac:dyDescent="0.3">
      <c r="B1146" s="328" t="s">
        <v>29</v>
      </c>
      <c r="C1146" s="328"/>
      <c r="D1146" s="328"/>
      <c r="E1146" s="328"/>
      <c r="F1146" s="328"/>
      <c r="G1146" s="328"/>
      <c r="H1146" s="328"/>
      <c r="I1146" s="296">
        <f>SUM(I1142:I1145)</f>
        <v>638.02</v>
      </c>
    </row>
    <row r="1147" spans="2:12" x14ac:dyDescent="0.25">
      <c r="B1147" s="166"/>
      <c r="C1147" s="223" t="s">
        <v>30</v>
      </c>
      <c r="D1147" s="90" t="s">
        <v>859</v>
      </c>
      <c r="E1147" s="75"/>
      <c r="F1147" s="75"/>
      <c r="G1147" s="85"/>
      <c r="H1147" s="139"/>
      <c r="I1147" s="293"/>
    </row>
    <row r="1148" spans="2:12" x14ac:dyDescent="0.25">
      <c r="B1148" s="166"/>
      <c r="C1148" s="223"/>
      <c r="E1148" s="75"/>
      <c r="F1148" s="75"/>
      <c r="G1148" s="85"/>
      <c r="H1148" s="139"/>
      <c r="I1148" s="295"/>
    </row>
    <row r="1149" spans="2:12" ht="14.4" thickBot="1" x14ac:dyDescent="0.3">
      <c r="B1149" s="166"/>
      <c r="C1149" s="223"/>
      <c r="E1149" s="75"/>
      <c r="F1149" s="75"/>
      <c r="G1149" s="85"/>
      <c r="H1149" s="139"/>
      <c r="I1149" s="292"/>
    </row>
    <row r="1150" spans="2:12" ht="14.4" thickBot="1" x14ac:dyDescent="0.3">
      <c r="B1150" s="330" t="s">
        <v>18</v>
      </c>
      <c r="C1150" s="330"/>
      <c r="D1150" s="331" t="s">
        <v>19</v>
      </c>
      <c r="E1150" s="331"/>
      <c r="F1150" s="331"/>
      <c r="G1150" s="331"/>
      <c r="H1150" s="331"/>
      <c r="I1150" s="291" t="s">
        <v>20</v>
      </c>
    </row>
    <row r="1151" spans="2:12" ht="14.4" thickBot="1" x14ac:dyDescent="0.3">
      <c r="B1151" s="329" t="s">
        <v>849</v>
      </c>
      <c r="C1151" s="329"/>
      <c r="D1151" s="338" t="s">
        <v>876</v>
      </c>
      <c r="E1151" s="338"/>
      <c r="F1151" s="338"/>
      <c r="G1151" s="338"/>
      <c r="H1151" s="338"/>
      <c r="I1151" s="80" t="s">
        <v>472</v>
      </c>
    </row>
    <row r="1152" spans="2:12" ht="14.4" thickBot="1" x14ac:dyDescent="0.3">
      <c r="B1152" s="328" t="s">
        <v>28</v>
      </c>
      <c r="C1152" s="328"/>
      <c r="D1152" s="141"/>
      <c r="E1152" s="226" t="s">
        <v>22</v>
      </c>
      <c r="F1152" s="226" t="s">
        <v>23</v>
      </c>
      <c r="G1152" s="88" t="s">
        <v>24</v>
      </c>
      <c r="H1152" s="89" t="s">
        <v>25</v>
      </c>
      <c r="I1152" s="226" t="s">
        <v>26</v>
      </c>
    </row>
    <row r="1153" spans="2:9" x14ac:dyDescent="0.25">
      <c r="B1153" s="166">
        <v>91677</v>
      </c>
      <c r="C1153" s="151" t="s">
        <v>1</v>
      </c>
      <c r="D1153" s="84" t="s">
        <v>861</v>
      </c>
      <c r="E1153" s="75" t="s">
        <v>2</v>
      </c>
      <c r="F1153" s="140">
        <v>1</v>
      </c>
      <c r="G1153" s="77">
        <v>5</v>
      </c>
      <c r="H1153" s="139">
        <v>78.489999999999995</v>
      </c>
      <c r="I1153" s="140">
        <f t="shared" ref="I1153:I1154" si="60">F1153*G1153*H1153</f>
        <v>392.45</v>
      </c>
    </row>
    <row r="1154" spans="2:9" ht="14.4" thickBot="1" x14ac:dyDescent="0.3">
      <c r="B1154" s="166">
        <v>88266</v>
      </c>
      <c r="C1154" s="151" t="s">
        <v>1</v>
      </c>
      <c r="D1154" s="84" t="s">
        <v>378</v>
      </c>
      <c r="E1154" s="75" t="s">
        <v>2</v>
      </c>
      <c r="F1154" s="140">
        <v>1</v>
      </c>
      <c r="G1154" s="77">
        <v>5</v>
      </c>
      <c r="H1154" s="139">
        <v>19.61</v>
      </c>
      <c r="I1154" s="140">
        <f t="shared" si="60"/>
        <v>98.05</v>
      </c>
    </row>
    <row r="1155" spans="2:9" ht="14.4" thickBot="1" x14ac:dyDescent="0.3">
      <c r="B1155" s="328" t="s">
        <v>29</v>
      </c>
      <c r="C1155" s="328"/>
      <c r="D1155" s="328"/>
      <c r="E1155" s="328"/>
      <c r="F1155" s="328"/>
      <c r="G1155" s="328"/>
      <c r="H1155" s="328"/>
      <c r="I1155" s="296">
        <f>SUM(I1153:I1154)</f>
        <v>490.5</v>
      </c>
    </row>
    <row r="1156" spans="2:9" x14ac:dyDescent="0.25">
      <c r="B1156" s="166"/>
      <c r="C1156" s="223" t="s">
        <v>30</v>
      </c>
      <c r="D1156" s="90" t="s">
        <v>859</v>
      </c>
      <c r="E1156" s="75"/>
      <c r="F1156" s="75"/>
      <c r="G1156" s="85"/>
      <c r="H1156" s="139"/>
      <c r="I1156" s="293"/>
    </row>
    <row r="1157" spans="2:9" x14ac:dyDescent="0.25">
      <c r="B1157" s="166"/>
      <c r="C1157" s="223"/>
      <c r="E1157" s="75"/>
      <c r="F1157" s="75"/>
      <c r="G1157" s="85"/>
      <c r="H1157" s="139"/>
      <c r="I1157" s="295"/>
    </row>
    <row r="1158" spans="2:9" ht="14.4" thickBot="1" x14ac:dyDescent="0.3">
      <c r="B1158" s="166"/>
      <c r="C1158" s="223"/>
      <c r="E1158" s="75"/>
      <c r="F1158" s="75"/>
      <c r="G1158" s="85"/>
      <c r="H1158" s="139"/>
      <c r="I1158" s="292"/>
    </row>
    <row r="1159" spans="2:9" ht="14.4" thickBot="1" x14ac:dyDescent="0.3">
      <c r="B1159" s="330" t="s">
        <v>18</v>
      </c>
      <c r="C1159" s="330"/>
      <c r="D1159" s="331" t="s">
        <v>19</v>
      </c>
      <c r="E1159" s="331"/>
      <c r="F1159" s="331"/>
      <c r="G1159" s="331"/>
      <c r="H1159" s="331"/>
      <c r="I1159" s="291" t="s">
        <v>20</v>
      </c>
    </row>
    <row r="1160" spans="2:9" ht="14.4" thickBot="1" x14ac:dyDescent="0.3">
      <c r="B1160" s="329" t="s">
        <v>860</v>
      </c>
      <c r="C1160" s="329"/>
      <c r="D1160" s="332" t="s">
        <v>965</v>
      </c>
      <c r="E1160" s="332"/>
      <c r="F1160" s="332"/>
      <c r="G1160" s="332"/>
      <c r="H1160" s="332"/>
      <c r="I1160" s="80" t="s">
        <v>472</v>
      </c>
    </row>
    <row r="1161" spans="2:9" ht="14.4" thickBot="1" x14ac:dyDescent="0.3">
      <c r="B1161" s="328" t="s">
        <v>21</v>
      </c>
      <c r="C1161" s="328"/>
      <c r="D1161" s="141"/>
      <c r="E1161" s="226" t="s">
        <v>22</v>
      </c>
      <c r="F1161" s="226" t="s">
        <v>23</v>
      </c>
      <c r="G1161" s="88" t="s">
        <v>24</v>
      </c>
      <c r="H1161" s="89" t="s">
        <v>25</v>
      </c>
      <c r="I1161" s="226" t="s">
        <v>26</v>
      </c>
    </row>
    <row r="1162" spans="2:9" x14ac:dyDescent="0.25">
      <c r="B1162" s="166">
        <v>654</v>
      </c>
      <c r="C1162" s="151" t="s">
        <v>1</v>
      </c>
      <c r="D1162" s="84" t="s">
        <v>966</v>
      </c>
      <c r="E1162" s="75" t="s">
        <v>22</v>
      </c>
      <c r="F1162" s="140">
        <f>(2.73+15.03)*2*1.6</f>
        <v>56.831999999999994</v>
      </c>
      <c r="G1162" s="77">
        <v>7.5</v>
      </c>
      <c r="H1162" s="139">
        <v>4.18</v>
      </c>
      <c r="I1162" s="140">
        <f t="shared" ref="I1162:I1185" si="61">F1162*G1162*H1162</f>
        <v>1781.6831999999997</v>
      </c>
    </row>
    <row r="1163" spans="2:9" x14ac:dyDescent="0.25">
      <c r="B1163" s="166">
        <v>660</v>
      </c>
      <c r="C1163" s="151" t="s">
        <v>1</v>
      </c>
      <c r="D1163" s="84" t="s">
        <v>967</v>
      </c>
      <c r="E1163" s="75" t="s">
        <v>22</v>
      </c>
      <c r="F1163" s="140">
        <f>F1162</f>
        <v>56.831999999999994</v>
      </c>
      <c r="G1163" s="77">
        <v>10</v>
      </c>
      <c r="H1163" s="139">
        <v>2.99</v>
      </c>
      <c r="I1163" s="140">
        <f t="shared" si="61"/>
        <v>1699.2767999999999</v>
      </c>
    </row>
    <row r="1164" spans="2:9" x14ac:dyDescent="0.25">
      <c r="B1164" s="166">
        <v>20174</v>
      </c>
      <c r="C1164" s="151" t="s">
        <v>1</v>
      </c>
      <c r="D1164" s="84" t="s">
        <v>968</v>
      </c>
      <c r="E1164" s="75" t="s">
        <v>22</v>
      </c>
      <c r="F1164" s="140">
        <v>2</v>
      </c>
      <c r="G1164" s="77">
        <v>1</v>
      </c>
      <c r="H1164" s="139">
        <v>48.34</v>
      </c>
      <c r="I1164" s="140">
        <f t="shared" si="61"/>
        <v>96.68</v>
      </c>
    </row>
    <row r="1165" spans="2:9" x14ac:dyDescent="0.25">
      <c r="B1165" s="166">
        <v>20131</v>
      </c>
      <c r="C1165" s="151" t="s">
        <v>1</v>
      </c>
      <c r="D1165" s="84" t="s">
        <v>969</v>
      </c>
      <c r="E1165" s="75" t="s">
        <v>22</v>
      </c>
      <c r="F1165" s="140">
        <v>1</v>
      </c>
      <c r="G1165" s="77">
        <v>1</v>
      </c>
      <c r="H1165" s="139">
        <v>63.64</v>
      </c>
      <c r="I1165" s="140">
        <f t="shared" si="61"/>
        <v>63.64</v>
      </c>
    </row>
    <row r="1166" spans="2:9" x14ac:dyDescent="0.25">
      <c r="B1166" s="166">
        <v>42685</v>
      </c>
      <c r="C1166" s="151" t="s">
        <v>1</v>
      </c>
      <c r="D1166" s="84" t="s">
        <v>970</v>
      </c>
      <c r="E1166" s="75" t="s">
        <v>22</v>
      </c>
      <c r="F1166" s="140">
        <v>1</v>
      </c>
      <c r="G1166" s="77">
        <v>1</v>
      </c>
      <c r="H1166" s="139">
        <v>97.8</v>
      </c>
      <c r="I1166" s="140">
        <f t="shared" si="61"/>
        <v>97.8</v>
      </c>
    </row>
    <row r="1167" spans="2:9" x14ac:dyDescent="0.25">
      <c r="B1167" s="166">
        <v>20065</v>
      </c>
      <c r="C1167" s="151" t="s">
        <v>1</v>
      </c>
      <c r="D1167" s="84" t="s">
        <v>618</v>
      </c>
      <c r="E1167" s="75" t="s">
        <v>8</v>
      </c>
      <c r="F1167" s="140">
        <v>1</v>
      </c>
      <c r="G1167" s="77">
        <v>4</v>
      </c>
      <c r="H1167" s="139">
        <v>46.48</v>
      </c>
      <c r="I1167" s="140">
        <f t="shared" si="61"/>
        <v>185.92</v>
      </c>
    </row>
    <row r="1168" spans="2:9" x14ac:dyDescent="0.25">
      <c r="B1168" s="166">
        <v>20080</v>
      </c>
      <c r="C1168" s="151" t="s">
        <v>1</v>
      </c>
      <c r="D1168" s="84" t="s">
        <v>971</v>
      </c>
      <c r="E1168" s="75" t="s">
        <v>22</v>
      </c>
      <c r="F1168" s="140">
        <v>1</v>
      </c>
      <c r="G1168" s="77">
        <f>0.1*6</f>
        <v>0.60000000000000009</v>
      </c>
      <c r="H1168" s="139">
        <v>25.11</v>
      </c>
      <c r="I1168" s="140">
        <f t="shared" si="61"/>
        <v>15.066000000000003</v>
      </c>
    </row>
    <row r="1169" spans="2:9" x14ac:dyDescent="0.25">
      <c r="B1169" s="166">
        <v>20083</v>
      </c>
      <c r="C1169" s="151" t="s">
        <v>1</v>
      </c>
      <c r="D1169" s="84" t="s">
        <v>972</v>
      </c>
      <c r="E1169" s="75" t="s">
        <v>443</v>
      </c>
      <c r="F1169" s="140">
        <v>1</v>
      </c>
      <c r="G1169" s="77">
        <f>0.025*6</f>
        <v>0.15000000000000002</v>
      </c>
      <c r="H1169" s="139">
        <v>87.17</v>
      </c>
      <c r="I1169" s="140">
        <f t="shared" si="61"/>
        <v>13.075500000000002</v>
      </c>
    </row>
    <row r="1170" spans="2:9" x14ac:dyDescent="0.25">
      <c r="B1170" s="166">
        <v>4730</v>
      </c>
      <c r="C1170" s="151" t="s">
        <v>1</v>
      </c>
      <c r="D1170" s="84" t="s">
        <v>973</v>
      </c>
      <c r="E1170" s="75" t="s">
        <v>80</v>
      </c>
      <c r="F1170" s="140">
        <v>1</v>
      </c>
      <c r="G1170" s="77">
        <f>(15*2.3*0.65)-(0.3217*15)</f>
        <v>17.599499999999999</v>
      </c>
      <c r="H1170" s="139">
        <v>79.33</v>
      </c>
      <c r="I1170" s="140">
        <f t="shared" si="61"/>
        <v>1396.1683349999998</v>
      </c>
    </row>
    <row r="1171" spans="2:9" ht="14.4" thickBot="1" x14ac:dyDescent="0.3">
      <c r="B1171" s="166"/>
      <c r="C1171" s="151" t="s">
        <v>206</v>
      </c>
      <c r="D1171" s="84" t="s">
        <v>974</v>
      </c>
      <c r="E1171" s="75" t="s">
        <v>22</v>
      </c>
      <c r="F1171" s="140">
        <v>1</v>
      </c>
      <c r="G1171" s="77">
        <v>8</v>
      </c>
      <c r="H1171" s="139">
        <v>10.199999999999999</v>
      </c>
      <c r="I1171" s="140">
        <f t="shared" si="61"/>
        <v>81.599999999999994</v>
      </c>
    </row>
    <row r="1172" spans="2:9" ht="14.4" thickBot="1" x14ac:dyDescent="0.3">
      <c r="B1172" s="328" t="s">
        <v>27</v>
      </c>
      <c r="C1172" s="328"/>
      <c r="D1172" s="141"/>
      <c r="E1172" s="226" t="s">
        <v>22</v>
      </c>
      <c r="F1172" s="226" t="s">
        <v>23</v>
      </c>
      <c r="G1172" s="88" t="s">
        <v>24</v>
      </c>
      <c r="H1172" s="89" t="s">
        <v>25</v>
      </c>
      <c r="I1172" s="226" t="s">
        <v>26</v>
      </c>
    </row>
    <row r="1173" spans="2:9" ht="30.6" x14ac:dyDescent="0.25">
      <c r="B1173" s="166">
        <v>87292</v>
      </c>
      <c r="C1173" s="151" t="s">
        <v>1</v>
      </c>
      <c r="D1173" s="84" t="s">
        <v>975</v>
      </c>
      <c r="E1173" s="75" t="s">
        <v>80</v>
      </c>
      <c r="F1173" s="140">
        <f>F1162</f>
        <v>56.831999999999994</v>
      </c>
      <c r="G1173" s="77">
        <f>(((0.19+0.19)*2*0.02*0.02)*10+((0.39+0.19)*2*0.02*0.02)*7.5)+(0.015*1*1)</f>
        <v>2.1520000000000001E-2</v>
      </c>
      <c r="H1173" s="139">
        <v>450.77</v>
      </c>
      <c r="I1173" s="140">
        <f t="shared" si="61"/>
        <v>551.30281697279997</v>
      </c>
    </row>
    <row r="1174" spans="2:9" ht="20.399999999999999" x14ac:dyDescent="0.25">
      <c r="B1174" s="166">
        <v>87316</v>
      </c>
      <c r="C1174" s="151" t="s">
        <v>1</v>
      </c>
      <c r="D1174" s="84" t="s">
        <v>286</v>
      </c>
      <c r="E1174" s="75" t="s">
        <v>80</v>
      </c>
      <c r="F1174" s="140">
        <f>F1162</f>
        <v>56.831999999999994</v>
      </c>
      <c r="G1174" s="77">
        <v>1.55E-2</v>
      </c>
      <c r="H1174" s="139">
        <v>400.54</v>
      </c>
      <c r="I1174" s="140">
        <f t="shared" si="61"/>
        <v>352.83408384000001</v>
      </c>
    </row>
    <row r="1175" spans="2:9" x14ac:dyDescent="0.25">
      <c r="B1175" s="166">
        <v>89996</v>
      </c>
      <c r="C1175" s="151" t="s">
        <v>1</v>
      </c>
      <c r="D1175" s="84" t="s">
        <v>976</v>
      </c>
      <c r="E1175" s="75" t="s">
        <v>82</v>
      </c>
      <c r="F1175" s="140">
        <v>1</v>
      </c>
      <c r="G1175" s="77">
        <f>(22*1.65)*0.617</f>
        <v>22.397099999999998</v>
      </c>
      <c r="H1175" s="139">
        <v>12.24</v>
      </c>
      <c r="I1175" s="140">
        <f t="shared" si="61"/>
        <v>274.14050399999996</v>
      </c>
    </row>
    <row r="1176" spans="2:9" x14ac:dyDescent="0.25">
      <c r="B1176" s="166">
        <v>89998</v>
      </c>
      <c r="C1176" s="151" t="s">
        <v>1</v>
      </c>
      <c r="D1176" s="84" t="s">
        <v>977</v>
      </c>
      <c r="E1176" s="75" t="s">
        <v>82</v>
      </c>
      <c r="F1176" s="140">
        <v>1</v>
      </c>
      <c r="G1176" s="77">
        <f>(15.03+15.03+2.73+2.73)*0.617</f>
        <v>21.915839999999996</v>
      </c>
      <c r="H1176" s="139">
        <v>11.87</v>
      </c>
      <c r="I1176" s="140">
        <f t="shared" si="61"/>
        <v>260.14102079999992</v>
      </c>
    </row>
    <row r="1177" spans="2:9" x14ac:dyDescent="0.25">
      <c r="B1177" s="166">
        <v>89993</v>
      </c>
      <c r="C1177" s="151" t="s">
        <v>1</v>
      </c>
      <c r="D1177" s="84" t="s">
        <v>978</v>
      </c>
      <c r="E1177" s="75" t="s">
        <v>80</v>
      </c>
      <c r="F1177" s="140">
        <v>1</v>
      </c>
      <c r="G1177" s="77">
        <f>22*0.15*0.15</f>
        <v>0.49499999999999994</v>
      </c>
      <c r="H1177" s="139">
        <v>828.46</v>
      </c>
      <c r="I1177" s="140">
        <f t="shared" si="61"/>
        <v>410.08769999999998</v>
      </c>
    </row>
    <row r="1178" spans="2:9" x14ac:dyDescent="0.25">
      <c r="B1178" s="166">
        <v>89995</v>
      </c>
      <c r="C1178" s="151" t="s">
        <v>1</v>
      </c>
      <c r="D1178" s="84" t="s">
        <v>979</v>
      </c>
      <c r="E1178" s="75" t="s">
        <v>80</v>
      </c>
      <c r="F1178" s="140">
        <v>1</v>
      </c>
      <c r="G1178" s="77">
        <f>(15.03+15.03+2.73+2.73)*0.0231</f>
        <v>0.82051199999999991</v>
      </c>
      <c r="H1178" s="139">
        <v>802.9</v>
      </c>
      <c r="I1178" s="140">
        <f t="shared" si="61"/>
        <v>658.78908479999996</v>
      </c>
    </row>
    <row r="1179" spans="2:9" ht="20.399999999999999" x14ac:dyDescent="0.25">
      <c r="B1179" s="166">
        <v>92783</v>
      </c>
      <c r="C1179" s="151" t="s">
        <v>1</v>
      </c>
      <c r="D1179" s="84" t="s">
        <v>980</v>
      </c>
      <c r="E1179" s="75" t="s">
        <v>82</v>
      </c>
      <c r="F1179" s="140">
        <v>1</v>
      </c>
      <c r="G1179" s="77">
        <f>((((15.03/0.12)+1)*2.73)+(((2.73/0.12)+1)*15.03))*0.109</f>
        <v>76.477125000000001</v>
      </c>
      <c r="H1179" s="139">
        <v>17.66</v>
      </c>
      <c r="I1179" s="140">
        <f t="shared" si="61"/>
        <v>1350.5860275</v>
      </c>
    </row>
    <row r="1180" spans="2:9" ht="20.399999999999999" x14ac:dyDescent="0.25">
      <c r="B1180" s="166">
        <v>94964</v>
      </c>
      <c r="C1180" s="151" t="s">
        <v>1</v>
      </c>
      <c r="D1180" s="84" t="s">
        <v>981</v>
      </c>
      <c r="E1180" s="75" t="s">
        <v>80</v>
      </c>
      <c r="F1180" s="140">
        <v>1</v>
      </c>
      <c r="G1180" s="77">
        <f>(15.03*2.73)*0.1</f>
        <v>4.1031900000000006</v>
      </c>
      <c r="H1180" s="139">
        <v>407.4</v>
      </c>
      <c r="I1180" s="140">
        <f t="shared" si="61"/>
        <v>1671.6396060000002</v>
      </c>
    </row>
    <row r="1181" spans="2:9" x14ac:dyDescent="0.25">
      <c r="B1181" s="166">
        <v>93382</v>
      </c>
      <c r="C1181" s="151" t="s">
        <v>1</v>
      </c>
      <c r="D1181" s="84" t="s">
        <v>982</v>
      </c>
      <c r="E1181" s="75" t="s">
        <v>80</v>
      </c>
      <c r="F1181" s="140">
        <v>1</v>
      </c>
      <c r="G1181" s="77">
        <f>(49.5479-42.1239)*1.3</f>
        <v>9.6511999999999993</v>
      </c>
      <c r="H1181" s="139">
        <v>21.84</v>
      </c>
      <c r="I1181" s="140">
        <f t="shared" si="61"/>
        <v>210.782208</v>
      </c>
    </row>
    <row r="1182" spans="2:9" ht="20.399999999999999" x14ac:dyDescent="0.25">
      <c r="B1182" s="166">
        <v>102713</v>
      </c>
      <c r="C1182" s="151" t="s">
        <v>1</v>
      </c>
      <c r="D1182" s="84" t="s">
        <v>983</v>
      </c>
      <c r="E1182" s="75" t="s">
        <v>37</v>
      </c>
      <c r="F1182" s="140">
        <v>1</v>
      </c>
      <c r="G1182" s="77">
        <f>15*2.3</f>
        <v>34.5</v>
      </c>
      <c r="H1182" s="139">
        <v>11.27</v>
      </c>
      <c r="I1182" s="140">
        <f t="shared" si="61"/>
        <v>388.815</v>
      </c>
    </row>
    <row r="1183" spans="2:9" ht="20.399999999999999" x14ac:dyDescent="0.25">
      <c r="B1183" s="166">
        <v>90725</v>
      </c>
      <c r="C1183" s="151" t="s">
        <v>1</v>
      </c>
      <c r="D1183" s="84" t="s">
        <v>984</v>
      </c>
      <c r="E1183" s="75" t="s">
        <v>22</v>
      </c>
      <c r="F1183" s="140">
        <v>1</v>
      </c>
      <c r="G1183" s="77">
        <v>2</v>
      </c>
      <c r="H1183" s="139">
        <v>20.7</v>
      </c>
      <c r="I1183" s="140">
        <f t="shared" si="61"/>
        <v>41.4</v>
      </c>
    </row>
    <row r="1184" spans="2:9" ht="20.399999999999999" x14ac:dyDescent="0.25">
      <c r="B1184" s="166">
        <v>100323</v>
      </c>
      <c r="C1184" s="151" t="s">
        <v>1</v>
      </c>
      <c r="D1184" s="84" t="s">
        <v>985</v>
      </c>
      <c r="E1184" s="75" t="s">
        <v>80</v>
      </c>
      <c r="F1184" s="140">
        <v>1</v>
      </c>
      <c r="G1184" s="77">
        <f>(15*2.3*0.1)</f>
        <v>3.45</v>
      </c>
      <c r="H1184" s="139">
        <v>119.3</v>
      </c>
      <c r="I1184" s="140">
        <f t="shared" si="61"/>
        <v>411.58500000000004</v>
      </c>
    </row>
    <row r="1185" spans="2:18" ht="14.4" thickBot="1" x14ac:dyDescent="0.3">
      <c r="B1185" s="166">
        <v>7253</v>
      </c>
      <c r="C1185" s="151" t="s">
        <v>1</v>
      </c>
      <c r="D1185" s="84" t="s">
        <v>986</v>
      </c>
      <c r="E1185" s="75" t="s">
        <v>80</v>
      </c>
      <c r="F1185" s="140">
        <v>1</v>
      </c>
      <c r="G1185" s="77">
        <f>(15*2.3)*(0.4+0.1)</f>
        <v>17.25</v>
      </c>
      <c r="H1185" s="139">
        <v>143.57</v>
      </c>
      <c r="I1185" s="140">
        <f t="shared" si="61"/>
        <v>2476.5825</v>
      </c>
    </row>
    <row r="1186" spans="2:18" ht="14.4" thickBot="1" x14ac:dyDescent="0.3">
      <c r="B1186" s="328" t="s">
        <v>28</v>
      </c>
      <c r="C1186" s="328"/>
      <c r="D1186" s="141"/>
      <c r="E1186" s="226" t="s">
        <v>22</v>
      </c>
      <c r="F1186" s="226" t="s">
        <v>23</v>
      </c>
      <c r="G1186" s="88" t="s">
        <v>24</v>
      </c>
      <c r="H1186" s="89" t="s">
        <v>25</v>
      </c>
      <c r="I1186" s="226" t="s">
        <v>26</v>
      </c>
    </row>
    <row r="1187" spans="2:18" x14ac:dyDescent="0.25">
      <c r="B1187" s="166">
        <v>88309</v>
      </c>
      <c r="C1187" s="151" t="s">
        <v>1</v>
      </c>
      <c r="D1187" s="84" t="s">
        <v>87</v>
      </c>
      <c r="E1187" s="75" t="s">
        <v>2</v>
      </c>
      <c r="F1187" s="140">
        <v>1</v>
      </c>
      <c r="G1187" s="77">
        <v>50.2333</v>
      </c>
      <c r="H1187" s="139">
        <v>18.86</v>
      </c>
      <c r="I1187" s="140">
        <f t="shared" ref="I1187:I1190" si="62">F1187*G1187*H1187</f>
        <v>947.400038</v>
      </c>
    </row>
    <row r="1188" spans="2:18" x14ac:dyDescent="0.25">
      <c r="B1188" s="166">
        <v>88316</v>
      </c>
      <c r="C1188" s="151" t="s">
        <v>1</v>
      </c>
      <c r="D1188" s="84" t="s">
        <v>43</v>
      </c>
      <c r="E1188" s="75" t="s">
        <v>2</v>
      </c>
      <c r="F1188" s="140">
        <v>1</v>
      </c>
      <c r="G1188" s="77">
        <f>50.2333+1.18</f>
        <v>51.4133</v>
      </c>
      <c r="H1188" s="139">
        <v>15.16</v>
      </c>
      <c r="I1188" s="140">
        <f t="shared" si="62"/>
        <v>779.42562799999996</v>
      </c>
    </row>
    <row r="1189" spans="2:18" x14ac:dyDescent="0.25">
      <c r="B1189" s="166">
        <v>88267</v>
      </c>
      <c r="C1189" s="151" t="s">
        <v>1</v>
      </c>
      <c r="D1189" s="84" t="s">
        <v>606</v>
      </c>
      <c r="E1189" s="75" t="s">
        <v>2</v>
      </c>
      <c r="F1189" s="140">
        <v>1</v>
      </c>
      <c r="G1189" s="77">
        <f>0.9*2</f>
        <v>1.8</v>
      </c>
      <c r="H1189" s="139">
        <v>18.72</v>
      </c>
      <c r="I1189" s="140">
        <f t="shared" si="62"/>
        <v>33.695999999999998</v>
      </c>
    </row>
    <row r="1190" spans="2:18" ht="14.4" thickBot="1" x14ac:dyDescent="0.3">
      <c r="B1190" s="166">
        <v>88441</v>
      </c>
      <c r="C1190" s="151" t="s">
        <v>1</v>
      </c>
      <c r="D1190" s="84" t="s">
        <v>987</v>
      </c>
      <c r="E1190" s="75" t="s">
        <v>2</v>
      </c>
      <c r="F1190" s="140">
        <v>8</v>
      </c>
      <c r="G1190" s="77">
        <v>0.23</v>
      </c>
      <c r="H1190" s="139">
        <v>16.41</v>
      </c>
      <c r="I1190" s="140">
        <f t="shared" si="62"/>
        <v>30.194400000000002</v>
      </c>
    </row>
    <row r="1191" spans="2:18" ht="14.4" thickBot="1" x14ac:dyDescent="0.3">
      <c r="B1191" s="328" t="s">
        <v>29</v>
      </c>
      <c r="C1191" s="328"/>
      <c r="D1191" s="328"/>
      <c r="E1191" s="328"/>
      <c r="F1191" s="328"/>
      <c r="G1191" s="328"/>
      <c r="H1191" s="328"/>
      <c r="I1191" s="296">
        <f>SUM(I1162:I1190)</f>
        <v>16280.3114529128</v>
      </c>
    </row>
    <row r="1192" spans="2:18" x14ac:dyDescent="0.25">
      <c r="B1192" s="166"/>
      <c r="C1192" s="223" t="s">
        <v>30</v>
      </c>
      <c r="D1192" s="90" t="s">
        <v>988</v>
      </c>
      <c r="E1192" s="75"/>
      <c r="F1192" s="75"/>
      <c r="G1192" s="85"/>
      <c r="H1192" s="139"/>
      <c r="I1192" s="293"/>
    </row>
    <row r="1193" spans="2:18" s="90" customFormat="1" ht="10.199999999999999" x14ac:dyDescent="0.25">
      <c r="B1193" s="166"/>
      <c r="C1193" s="223"/>
      <c r="E1193" s="75"/>
      <c r="F1193" s="75"/>
      <c r="G1193" s="85"/>
      <c r="H1193" s="139"/>
      <c r="I1193" s="295"/>
      <c r="L1193" s="85"/>
    </row>
    <row r="1194" spans="2:18" s="90" customFormat="1" ht="10.8" thickBot="1" x14ac:dyDescent="0.3">
      <c r="B1194" s="166"/>
      <c r="C1194" s="223"/>
      <c r="E1194" s="75"/>
      <c r="F1194" s="75"/>
      <c r="G1194" s="85"/>
      <c r="H1194" s="139"/>
      <c r="I1194" s="292"/>
      <c r="L1194" s="85"/>
    </row>
    <row r="1195" spans="2:18" ht="14.4" thickBot="1" x14ac:dyDescent="0.3">
      <c r="B1195" s="330" t="s">
        <v>18</v>
      </c>
      <c r="C1195" s="330"/>
      <c r="D1195" s="331" t="s">
        <v>19</v>
      </c>
      <c r="E1195" s="331"/>
      <c r="F1195" s="331"/>
      <c r="G1195" s="331"/>
      <c r="H1195" s="331"/>
      <c r="I1195" s="291" t="s">
        <v>20</v>
      </c>
    </row>
    <row r="1196" spans="2:18" ht="14.4" thickBot="1" x14ac:dyDescent="0.3">
      <c r="B1196" s="329" t="s">
        <v>867</v>
      </c>
      <c r="C1196" s="329"/>
      <c r="D1196" s="332" t="s">
        <v>989</v>
      </c>
      <c r="E1196" s="332"/>
      <c r="F1196" s="332"/>
      <c r="G1196" s="332"/>
      <c r="H1196" s="332"/>
      <c r="I1196" s="80" t="s">
        <v>37</v>
      </c>
      <c r="R1196" s="69" t="s">
        <v>60</v>
      </c>
    </row>
    <row r="1197" spans="2:18" ht="14.4" thickBot="1" x14ac:dyDescent="0.3">
      <c r="B1197" s="328" t="s">
        <v>21</v>
      </c>
      <c r="C1197" s="328"/>
      <c r="D1197" s="141"/>
      <c r="E1197" s="226" t="s">
        <v>22</v>
      </c>
      <c r="F1197" s="226" t="s">
        <v>23</v>
      </c>
      <c r="G1197" s="88" t="s">
        <v>24</v>
      </c>
      <c r="H1197" s="89" t="s">
        <v>25</v>
      </c>
      <c r="I1197" s="226" t="s">
        <v>26</v>
      </c>
      <c r="M1197" s="143"/>
      <c r="R1197" s="69" t="s">
        <v>61</v>
      </c>
    </row>
    <row r="1198" spans="2:18" ht="20.399999999999999" x14ac:dyDescent="0.25">
      <c r="B1198" s="166">
        <v>2745</v>
      </c>
      <c r="C1198" s="151" t="s">
        <v>1</v>
      </c>
      <c r="D1198" s="84" t="s">
        <v>990</v>
      </c>
      <c r="E1198" s="75" t="s">
        <v>8</v>
      </c>
      <c r="F1198" s="140">
        <v>1</v>
      </c>
      <c r="G1198" s="77">
        <v>3.2000000000000001E-2</v>
      </c>
      <c r="H1198" s="139">
        <v>3.88</v>
      </c>
      <c r="I1198" s="140">
        <f t="shared" ref="I1198:I1199" si="63">F1198*G1198*H1198</f>
        <v>0.12415999999999999</v>
      </c>
    </row>
    <row r="1199" spans="2:18" ht="14.4" thickBot="1" x14ac:dyDescent="0.3">
      <c r="B1199" s="166">
        <v>6194</v>
      </c>
      <c r="C1199" s="151" t="s">
        <v>1</v>
      </c>
      <c r="D1199" s="84" t="s">
        <v>991</v>
      </c>
      <c r="E1199" s="75" t="s">
        <v>8</v>
      </c>
      <c r="F1199" s="140">
        <v>1</v>
      </c>
      <c r="G1199" s="77">
        <v>0.248</v>
      </c>
      <c r="H1199" s="139">
        <v>6.41</v>
      </c>
      <c r="I1199" s="140">
        <f t="shared" si="63"/>
        <v>1.58968</v>
      </c>
    </row>
    <row r="1200" spans="2:18" ht="14.4" thickBot="1" x14ac:dyDescent="0.3">
      <c r="B1200" s="328" t="s">
        <v>28</v>
      </c>
      <c r="C1200" s="328"/>
      <c r="D1200" s="141"/>
      <c r="E1200" s="226" t="s">
        <v>22</v>
      </c>
      <c r="F1200" s="226" t="s">
        <v>23</v>
      </c>
      <c r="G1200" s="88" t="s">
        <v>24</v>
      </c>
      <c r="H1200" s="89" t="s">
        <v>25</v>
      </c>
      <c r="I1200" s="226" t="s">
        <v>26</v>
      </c>
      <c r="K1200" s="140"/>
    </row>
    <row r="1201" spans="2:18" x14ac:dyDescent="0.25">
      <c r="B1201" s="166">
        <v>88262</v>
      </c>
      <c r="C1201" s="151" t="s">
        <v>1</v>
      </c>
      <c r="D1201" s="84" t="s">
        <v>951</v>
      </c>
      <c r="E1201" s="75" t="s">
        <v>2</v>
      </c>
      <c r="F1201" s="140">
        <v>1</v>
      </c>
      <c r="G1201" s="77">
        <v>0.33300000000000002</v>
      </c>
      <c r="H1201" s="139">
        <v>18.63</v>
      </c>
      <c r="I1201" s="140">
        <f t="shared" ref="I1201:I1202" si="64">F1201*G1201*H1201</f>
        <v>6.2037899999999997</v>
      </c>
    </row>
    <row r="1202" spans="2:18" ht="14.4" thickBot="1" x14ac:dyDescent="0.3">
      <c r="B1202" s="166">
        <v>88316</v>
      </c>
      <c r="C1202" s="151" t="s">
        <v>1</v>
      </c>
      <c r="D1202" s="84" t="s">
        <v>651</v>
      </c>
      <c r="E1202" s="75" t="s">
        <v>2</v>
      </c>
      <c r="F1202" s="140">
        <v>1</v>
      </c>
      <c r="G1202" s="77">
        <v>0.66669999999999996</v>
      </c>
      <c r="H1202" s="139">
        <v>15.16</v>
      </c>
      <c r="I1202" s="140">
        <f t="shared" si="64"/>
        <v>10.107172</v>
      </c>
      <c r="K1202" s="140"/>
    </row>
    <row r="1203" spans="2:18" ht="14.4" thickBot="1" x14ac:dyDescent="0.3">
      <c r="B1203" s="328" t="s">
        <v>29</v>
      </c>
      <c r="C1203" s="328"/>
      <c r="D1203" s="328"/>
      <c r="E1203" s="328"/>
      <c r="F1203" s="328"/>
      <c r="G1203" s="328"/>
      <c r="H1203" s="328"/>
      <c r="I1203" s="296">
        <f>SUM(I1198:I1202)</f>
        <v>18.024802000000001</v>
      </c>
      <c r="R1203" s="69" t="s">
        <v>62</v>
      </c>
    </row>
    <row r="1204" spans="2:18" x14ac:dyDescent="0.25">
      <c r="B1204" s="166"/>
      <c r="C1204" s="223" t="s">
        <v>30</v>
      </c>
      <c r="D1204" s="90" t="s">
        <v>992</v>
      </c>
      <c r="E1204" s="75"/>
      <c r="F1204" s="75"/>
      <c r="G1204" s="85"/>
      <c r="H1204" s="139"/>
      <c r="I1204" s="293"/>
      <c r="R1204" s="69" t="s">
        <v>63</v>
      </c>
    </row>
    <row r="1205" spans="2:18" s="90" customFormat="1" ht="10.199999999999999" x14ac:dyDescent="0.25">
      <c r="B1205" s="166"/>
      <c r="C1205" s="223"/>
      <c r="E1205" s="75"/>
      <c r="F1205" s="75"/>
      <c r="G1205" s="85"/>
      <c r="H1205" s="139"/>
      <c r="I1205" s="295"/>
      <c r="L1205" s="85"/>
    </row>
    <row r="1206" spans="2:18" s="90" customFormat="1" ht="10.8" thickBot="1" x14ac:dyDescent="0.3">
      <c r="B1206" s="166"/>
      <c r="C1206" s="223"/>
      <c r="E1206" s="75"/>
      <c r="F1206" s="75"/>
      <c r="G1206" s="85"/>
      <c r="H1206" s="139"/>
      <c r="I1206" s="292"/>
      <c r="L1206" s="85"/>
    </row>
    <row r="1207" spans="2:18" ht="14.4" thickBot="1" x14ac:dyDescent="0.3">
      <c r="B1207" s="330" t="s">
        <v>18</v>
      </c>
      <c r="C1207" s="330"/>
      <c r="D1207" s="331" t="s">
        <v>19</v>
      </c>
      <c r="E1207" s="331"/>
      <c r="F1207" s="331"/>
      <c r="G1207" s="331"/>
      <c r="H1207" s="331"/>
      <c r="I1207" s="291" t="s">
        <v>20</v>
      </c>
    </row>
    <row r="1208" spans="2:18" ht="14.4" thickBot="1" x14ac:dyDescent="0.3">
      <c r="B1208" s="329" t="s">
        <v>875</v>
      </c>
      <c r="C1208" s="329"/>
      <c r="D1208" s="332" t="s">
        <v>993</v>
      </c>
      <c r="E1208" s="332"/>
      <c r="F1208" s="332"/>
      <c r="G1208" s="332"/>
      <c r="H1208" s="332"/>
      <c r="I1208" s="80" t="s">
        <v>472</v>
      </c>
    </row>
    <row r="1209" spans="2:18" ht="14.4" thickBot="1" x14ac:dyDescent="0.3">
      <c r="B1209" s="328" t="s">
        <v>21</v>
      </c>
      <c r="C1209" s="328"/>
      <c r="D1209" s="141"/>
      <c r="E1209" s="226" t="s">
        <v>22</v>
      </c>
      <c r="F1209" s="226" t="s">
        <v>23</v>
      </c>
      <c r="G1209" s="88" t="s">
        <v>24</v>
      </c>
      <c r="H1209" s="89" t="s">
        <v>25</v>
      </c>
      <c r="I1209" s="226" t="s">
        <v>26</v>
      </c>
    </row>
    <row r="1210" spans="2:18" ht="14.4" thickBot="1" x14ac:dyDescent="0.3">
      <c r="B1210" s="166">
        <v>7258</v>
      </c>
      <c r="C1210" s="151" t="s">
        <v>1</v>
      </c>
      <c r="D1210" s="84" t="s">
        <v>994</v>
      </c>
      <c r="E1210" s="75" t="s">
        <v>22</v>
      </c>
      <c r="F1210" s="140">
        <f>7.0686*3</f>
        <v>21.2058</v>
      </c>
      <c r="G1210" s="77">
        <f>(7*7)+(6*6)+(3+6+1)</f>
        <v>95</v>
      </c>
      <c r="H1210" s="139">
        <v>0.77</v>
      </c>
      <c r="I1210" s="140">
        <f t="shared" ref="I1210" si="65">F1210*G1210*H1210</f>
        <v>1551.20427</v>
      </c>
    </row>
    <row r="1211" spans="2:18" ht="14.4" thickBot="1" x14ac:dyDescent="0.3">
      <c r="B1211" s="328" t="s">
        <v>27</v>
      </c>
      <c r="C1211" s="328"/>
      <c r="D1211" s="141"/>
      <c r="E1211" s="157" t="s">
        <v>22</v>
      </c>
      <c r="F1211" s="157" t="s">
        <v>23</v>
      </c>
      <c r="G1211" s="88" t="s">
        <v>24</v>
      </c>
      <c r="H1211" s="89" t="s">
        <v>25</v>
      </c>
      <c r="I1211" s="226" t="s">
        <v>26</v>
      </c>
    </row>
    <row r="1212" spans="2:18" ht="20.399999999999999" x14ac:dyDescent="0.25">
      <c r="B1212" s="166">
        <v>87292</v>
      </c>
      <c r="C1212" s="151" t="s">
        <v>1</v>
      </c>
      <c r="D1212" s="84" t="s">
        <v>842</v>
      </c>
      <c r="E1212" s="75" t="s">
        <v>80</v>
      </c>
      <c r="F1212" s="140">
        <f>F1210</f>
        <v>21.2058</v>
      </c>
      <c r="G1212" s="77">
        <f>(14*14)*0.2*0.0006</f>
        <v>2.3519999999999999E-2</v>
      </c>
      <c r="H1212" s="139">
        <v>450.77</v>
      </c>
      <c r="I1212" s="140">
        <f t="shared" ref="I1212:I1216" si="66">F1212*G1212*H1212</f>
        <v>224.82623272031998</v>
      </c>
    </row>
    <row r="1213" spans="2:18" x14ac:dyDescent="0.25">
      <c r="B1213" s="166">
        <v>93382</v>
      </c>
      <c r="C1213" s="151" t="s">
        <v>1</v>
      </c>
      <c r="D1213" s="84" t="s">
        <v>982</v>
      </c>
      <c r="E1213" s="75" t="s">
        <v>80</v>
      </c>
      <c r="F1213" s="140">
        <v>1</v>
      </c>
      <c r="G1213" s="77">
        <f>(12.56-9.079)*3</f>
        <v>10.443</v>
      </c>
      <c r="H1213" s="139">
        <v>21.84</v>
      </c>
      <c r="I1213" s="140">
        <f t="shared" si="66"/>
        <v>228.07512</v>
      </c>
    </row>
    <row r="1214" spans="2:18" ht="20.399999999999999" x14ac:dyDescent="0.25">
      <c r="B1214" s="166">
        <v>101964</v>
      </c>
      <c r="C1214" s="151" t="s">
        <v>1</v>
      </c>
      <c r="D1214" s="84" t="s">
        <v>995</v>
      </c>
      <c r="E1214" s="75" t="s">
        <v>37</v>
      </c>
      <c r="F1214" s="140">
        <v>1</v>
      </c>
      <c r="G1214" s="77">
        <v>9.0790000000000006</v>
      </c>
      <c r="H1214" s="139">
        <v>174.58</v>
      </c>
      <c r="I1214" s="140">
        <f t="shared" si="66"/>
        <v>1585.0118200000002</v>
      </c>
    </row>
    <row r="1215" spans="2:18" x14ac:dyDescent="0.25">
      <c r="B1215" s="166">
        <v>2659</v>
      </c>
      <c r="C1215" s="151" t="s">
        <v>9</v>
      </c>
      <c r="D1215" s="84" t="s">
        <v>996</v>
      </c>
      <c r="E1215" s="75" t="s">
        <v>80</v>
      </c>
      <c r="F1215" s="140">
        <v>1</v>
      </c>
      <c r="G1215" s="77">
        <f>7.0686*0.3</f>
        <v>2.1205799999999999</v>
      </c>
      <c r="H1215" s="139">
        <v>143.55000000000001</v>
      </c>
      <c r="I1215" s="140">
        <f t="shared" si="66"/>
        <v>304.40925900000002</v>
      </c>
    </row>
    <row r="1216" spans="2:18" ht="14.4" thickBot="1" x14ac:dyDescent="0.3">
      <c r="B1216" s="166">
        <v>98114</v>
      </c>
      <c r="C1216" s="151" t="s">
        <v>1</v>
      </c>
      <c r="D1216" s="84" t="s">
        <v>997</v>
      </c>
      <c r="E1216" s="75" t="s">
        <v>22</v>
      </c>
      <c r="F1216" s="140">
        <v>1</v>
      </c>
      <c r="G1216" s="77">
        <v>1</v>
      </c>
      <c r="H1216" s="139">
        <v>719.47</v>
      </c>
      <c r="I1216" s="140">
        <f t="shared" si="66"/>
        <v>719.47</v>
      </c>
    </row>
    <row r="1217" spans="2:12" ht="14.4" thickBot="1" x14ac:dyDescent="0.3">
      <c r="B1217" s="328" t="s">
        <v>28</v>
      </c>
      <c r="C1217" s="328"/>
      <c r="D1217" s="141"/>
      <c r="E1217" s="157" t="s">
        <v>22</v>
      </c>
      <c r="F1217" s="157" t="s">
        <v>23</v>
      </c>
      <c r="G1217" s="88" t="s">
        <v>24</v>
      </c>
      <c r="H1217" s="89" t="s">
        <v>25</v>
      </c>
      <c r="I1217" s="226" t="s">
        <v>26</v>
      </c>
    </row>
    <row r="1218" spans="2:12" x14ac:dyDescent="0.25">
      <c r="B1218" s="166">
        <v>88309</v>
      </c>
      <c r="C1218" s="151" t="s">
        <v>1</v>
      </c>
      <c r="D1218" s="84" t="s">
        <v>87</v>
      </c>
      <c r="E1218" s="75" t="s">
        <v>2</v>
      </c>
      <c r="F1218" s="140">
        <f>F1212</f>
        <v>21.2058</v>
      </c>
      <c r="G1218" s="77">
        <v>2.42</v>
      </c>
      <c r="H1218" s="139">
        <v>18.86</v>
      </c>
      <c r="I1218" s="140">
        <f t="shared" ref="I1218:I1219" si="67">F1218*G1218*H1218</f>
        <v>967.85815895999997</v>
      </c>
    </row>
    <row r="1219" spans="2:12" ht="14.4" thickBot="1" x14ac:dyDescent="0.3">
      <c r="B1219" s="166">
        <v>88316</v>
      </c>
      <c r="C1219" s="151" t="s">
        <v>1</v>
      </c>
      <c r="D1219" s="84" t="s">
        <v>43</v>
      </c>
      <c r="E1219" s="75" t="s">
        <v>2</v>
      </c>
      <c r="F1219" s="140">
        <f>F1212</f>
        <v>21.2058</v>
      </c>
      <c r="G1219" s="77">
        <v>1.81</v>
      </c>
      <c r="H1219" s="139">
        <v>15.16</v>
      </c>
      <c r="I1219" s="140">
        <f t="shared" si="67"/>
        <v>581.87866968000003</v>
      </c>
    </row>
    <row r="1220" spans="2:12" ht="14.4" thickBot="1" x14ac:dyDescent="0.3">
      <c r="B1220" s="328" t="s">
        <v>29</v>
      </c>
      <c r="C1220" s="328"/>
      <c r="D1220" s="328"/>
      <c r="E1220" s="328"/>
      <c r="F1220" s="328"/>
      <c r="G1220" s="328"/>
      <c r="H1220" s="328"/>
      <c r="I1220" s="296">
        <f>SUM(I1210:I1219)</f>
        <v>6162.7335303603195</v>
      </c>
    </row>
    <row r="1221" spans="2:12" x14ac:dyDescent="0.25">
      <c r="B1221" s="166"/>
      <c r="C1221" s="223" t="s">
        <v>30</v>
      </c>
      <c r="D1221" s="90" t="s">
        <v>998</v>
      </c>
      <c r="E1221" s="75"/>
      <c r="F1221" s="75"/>
      <c r="G1221" s="85"/>
      <c r="H1221" s="139"/>
      <c r="I1221" s="293"/>
    </row>
    <row r="1222" spans="2:12" s="90" customFormat="1" ht="10.199999999999999" x14ac:dyDescent="0.25">
      <c r="B1222" s="166"/>
      <c r="C1222" s="223"/>
      <c r="E1222" s="75"/>
      <c r="F1222" s="75"/>
      <c r="G1222" s="85"/>
      <c r="H1222" s="139"/>
      <c r="I1222" s="295"/>
      <c r="L1222" s="85"/>
    </row>
    <row r="1223" spans="2:12" s="90" customFormat="1" ht="10.8" thickBot="1" x14ac:dyDescent="0.3">
      <c r="B1223" s="166"/>
      <c r="C1223" s="223"/>
      <c r="E1223" s="75"/>
      <c r="F1223" s="75"/>
      <c r="G1223" s="85"/>
      <c r="H1223" s="139"/>
      <c r="I1223" s="292"/>
      <c r="L1223" s="85"/>
    </row>
    <row r="1224" spans="2:12" ht="14.4" thickBot="1" x14ac:dyDescent="0.3">
      <c r="B1224" s="330" t="s">
        <v>18</v>
      </c>
      <c r="C1224" s="330"/>
      <c r="D1224" s="331" t="s">
        <v>19</v>
      </c>
      <c r="E1224" s="331"/>
      <c r="F1224" s="331"/>
      <c r="G1224" s="331"/>
      <c r="H1224" s="331"/>
      <c r="I1224" s="291" t="s">
        <v>20</v>
      </c>
    </row>
    <row r="1225" spans="2:12" ht="14.4" thickBot="1" x14ac:dyDescent="0.3">
      <c r="B1225" s="329" t="s">
        <v>1101</v>
      </c>
      <c r="C1225" s="329"/>
      <c r="D1225" s="332" t="s">
        <v>999</v>
      </c>
      <c r="E1225" s="332"/>
      <c r="F1225" s="332"/>
      <c r="G1225" s="332"/>
      <c r="H1225" s="332"/>
      <c r="I1225" s="80" t="s">
        <v>8</v>
      </c>
    </row>
    <row r="1226" spans="2:12" ht="14.4" thickBot="1" x14ac:dyDescent="0.3">
      <c r="B1226" s="328" t="s">
        <v>21</v>
      </c>
      <c r="C1226" s="328"/>
      <c r="D1226" s="141"/>
      <c r="E1226" s="226" t="s">
        <v>22</v>
      </c>
      <c r="F1226" s="226" t="s">
        <v>23</v>
      </c>
      <c r="G1226" s="88" t="s">
        <v>24</v>
      </c>
      <c r="H1226" s="89" t="s">
        <v>25</v>
      </c>
      <c r="I1226" s="226" t="s">
        <v>26</v>
      </c>
    </row>
    <row r="1227" spans="2:12" x14ac:dyDescent="0.25">
      <c r="B1227" s="166">
        <v>20174</v>
      </c>
      <c r="C1227" s="151" t="s">
        <v>1</v>
      </c>
      <c r="D1227" s="84" t="s">
        <v>1000</v>
      </c>
      <c r="E1227" s="75" t="s">
        <v>22</v>
      </c>
      <c r="F1227" s="140">
        <v>1</v>
      </c>
      <c r="G1227" s="77">
        <v>1</v>
      </c>
      <c r="H1227" s="139">
        <v>48.34</v>
      </c>
      <c r="I1227" s="140">
        <f>F1227*G1227*H1227</f>
        <v>48.34</v>
      </c>
    </row>
    <row r="1228" spans="2:12" x14ac:dyDescent="0.25">
      <c r="B1228" s="166">
        <v>20065</v>
      </c>
      <c r="C1228" s="151" t="s">
        <v>1</v>
      </c>
      <c r="D1228" s="84" t="s">
        <v>618</v>
      </c>
      <c r="E1228" s="75" t="s">
        <v>8</v>
      </c>
      <c r="F1228" s="140">
        <v>1</v>
      </c>
      <c r="G1228" s="77">
        <v>1</v>
      </c>
      <c r="H1228" s="139">
        <v>46.48</v>
      </c>
      <c r="I1228" s="140">
        <f>F1228*G1228*H1228</f>
        <v>46.48</v>
      </c>
    </row>
    <row r="1229" spans="2:12" x14ac:dyDescent="0.25">
      <c r="B1229" s="166">
        <v>20080</v>
      </c>
      <c r="C1229" s="151" t="s">
        <v>1</v>
      </c>
      <c r="D1229" s="84" t="s">
        <v>971</v>
      </c>
      <c r="E1229" s="75" t="s">
        <v>22</v>
      </c>
      <c r="F1229" s="140">
        <v>1</v>
      </c>
      <c r="G1229" s="77">
        <v>0.1</v>
      </c>
      <c r="H1229" s="139">
        <v>25.11</v>
      </c>
      <c r="I1229" s="140">
        <f>F1229*G1229*H1229</f>
        <v>2.5110000000000001</v>
      </c>
    </row>
    <row r="1230" spans="2:12" ht="14.4" thickBot="1" x14ac:dyDescent="0.3">
      <c r="B1230" s="166">
        <v>20083</v>
      </c>
      <c r="C1230" s="151" t="s">
        <v>1</v>
      </c>
      <c r="D1230" s="84" t="s">
        <v>972</v>
      </c>
      <c r="E1230" s="75" t="s">
        <v>443</v>
      </c>
      <c r="F1230" s="140">
        <v>1</v>
      </c>
      <c r="G1230" s="77">
        <v>2.5000000000000001E-2</v>
      </c>
      <c r="H1230" s="139">
        <v>87.17</v>
      </c>
      <c r="I1230" s="140">
        <f>F1230*G1230*H1230</f>
        <v>2.1792500000000001</v>
      </c>
    </row>
    <row r="1231" spans="2:12" ht="14.4" thickBot="1" x14ac:dyDescent="0.3">
      <c r="B1231" s="328" t="s">
        <v>27</v>
      </c>
      <c r="C1231" s="328"/>
      <c r="D1231" s="141"/>
      <c r="E1231" s="226" t="s">
        <v>22</v>
      </c>
      <c r="F1231" s="226" t="s">
        <v>23</v>
      </c>
      <c r="G1231" s="88" t="s">
        <v>24</v>
      </c>
      <c r="H1231" s="89" t="s">
        <v>25</v>
      </c>
      <c r="I1231" s="226" t="s">
        <v>26</v>
      </c>
    </row>
    <row r="1232" spans="2:12" x14ac:dyDescent="0.25">
      <c r="B1232" s="166">
        <v>93358</v>
      </c>
      <c r="C1232" s="151" t="s">
        <v>1</v>
      </c>
      <c r="D1232" s="84" t="s">
        <v>839</v>
      </c>
      <c r="E1232" s="75" t="s">
        <v>80</v>
      </c>
      <c r="F1232" s="140">
        <v>1</v>
      </c>
      <c r="G1232" s="77">
        <f>0.4*0.5*1</f>
        <v>0.2</v>
      </c>
      <c r="H1232" s="139">
        <v>59.97</v>
      </c>
      <c r="I1232" s="140">
        <f t="shared" ref="I1232:I1238" si="68">F1232*G1232*H1232</f>
        <v>11.994</v>
      </c>
    </row>
    <row r="1233" spans="2:12" ht="20.399999999999999" x14ac:dyDescent="0.25">
      <c r="B1233" s="166">
        <v>101618</v>
      </c>
      <c r="C1233" s="151" t="s">
        <v>1</v>
      </c>
      <c r="D1233" s="84" t="s">
        <v>1001</v>
      </c>
      <c r="E1233" s="75" t="s">
        <v>80</v>
      </c>
      <c r="F1233" s="140">
        <v>1</v>
      </c>
      <c r="G1233" s="77">
        <f>0.5*1*0.1</f>
        <v>0.05</v>
      </c>
      <c r="H1233" s="139">
        <v>178.59</v>
      </c>
      <c r="I1233" s="140">
        <f t="shared" si="68"/>
        <v>8.9295000000000009</v>
      </c>
    </row>
    <row r="1234" spans="2:12" x14ac:dyDescent="0.25">
      <c r="B1234" s="166">
        <v>93382</v>
      </c>
      <c r="C1234" s="151" t="s">
        <v>1</v>
      </c>
      <c r="D1234" s="84" t="s">
        <v>982</v>
      </c>
      <c r="E1234" s="75" t="s">
        <v>80</v>
      </c>
      <c r="F1234" s="140">
        <v>1</v>
      </c>
      <c r="G1234" s="77">
        <f>(0.15-0.017)*1</f>
        <v>0.13300000000000001</v>
      </c>
      <c r="H1234" s="139">
        <v>21.84</v>
      </c>
      <c r="I1234" s="140">
        <f t="shared" si="68"/>
        <v>2.9047200000000002</v>
      </c>
    </row>
    <row r="1235" spans="2:12" ht="21" thickBot="1" x14ac:dyDescent="0.3">
      <c r="B1235" s="166">
        <v>90725</v>
      </c>
      <c r="C1235" s="151" t="s">
        <v>1</v>
      </c>
      <c r="D1235" s="84" t="s">
        <v>984</v>
      </c>
      <c r="E1235" s="75" t="s">
        <v>22</v>
      </c>
      <c r="F1235" s="140">
        <v>1</v>
      </c>
      <c r="G1235" s="77">
        <f>2/2.3</f>
        <v>0.86956521739130443</v>
      </c>
      <c r="H1235" s="139">
        <v>20.7</v>
      </c>
      <c r="I1235" s="140">
        <f t="shared" si="68"/>
        <v>18</v>
      </c>
    </row>
    <row r="1236" spans="2:12" ht="14.4" thickBot="1" x14ac:dyDescent="0.3">
      <c r="B1236" s="328" t="s">
        <v>28</v>
      </c>
      <c r="C1236" s="328"/>
      <c r="D1236" s="141"/>
      <c r="E1236" s="226" t="s">
        <v>22</v>
      </c>
      <c r="F1236" s="226" t="s">
        <v>23</v>
      </c>
      <c r="G1236" s="88" t="s">
        <v>24</v>
      </c>
      <c r="H1236" s="89" t="s">
        <v>25</v>
      </c>
      <c r="I1236" s="226" t="s">
        <v>26</v>
      </c>
    </row>
    <row r="1237" spans="2:12" x14ac:dyDescent="0.25">
      <c r="B1237" s="166">
        <v>88267</v>
      </c>
      <c r="C1237" s="151" t="s">
        <v>1</v>
      </c>
      <c r="D1237" s="84" t="s">
        <v>606</v>
      </c>
      <c r="E1237" s="75" t="s">
        <v>2</v>
      </c>
      <c r="F1237" s="140">
        <v>1</v>
      </c>
      <c r="G1237" s="77">
        <v>0.9</v>
      </c>
      <c r="H1237" s="139">
        <v>18.72</v>
      </c>
      <c r="I1237" s="140">
        <f t="shared" ref="I1237" si="69">F1237*G1237*H1237</f>
        <v>16.847999999999999</v>
      </c>
    </row>
    <row r="1238" spans="2:12" ht="14.4" thickBot="1" x14ac:dyDescent="0.3">
      <c r="B1238" s="166">
        <v>88316</v>
      </c>
      <c r="C1238" s="151" t="s">
        <v>1</v>
      </c>
      <c r="D1238" s="84" t="s">
        <v>43</v>
      </c>
      <c r="E1238" s="75" t="s">
        <v>2</v>
      </c>
      <c r="F1238" s="140">
        <v>1</v>
      </c>
      <c r="G1238" s="77">
        <v>0.56999999999999995</v>
      </c>
      <c r="H1238" s="139">
        <v>15.16</v>
      </c>
      <c r="I1238" s="140">
        <f t="shared" si="68"/>
        <v>8.6411999999999995</v>
      </c>
    </row>
    <row r="1239" spans="2:12" ht="14.4" thickBot="1" x14ac:dyDescent="0.3">
      <c r="B1239" s="328" t="s">
        <v>29</v>
      </c>
      <c r="C1239" s="328"/>
      <c r="D1239" s="328"/>
      <c r="E1239" s="328"/>
      <c r="F1239" s="328"/>
      <c r="G1239" s="328"/>
      <c r="H1239" s="328"/>
      <c r="I1239" s="296">
        <f>SUM(I1227:I1238)</f>
        <v>166.82766999999998</v>
      </c>
    </row>
    <row r="1240" spans="2:12" x14ac:dyDescent="0.25">
      <c r="B1240" s="166"/>
      <c r="C1240" s="223" t="s">
        <v>30</v>
      </c>
      <c r="D1240" s="90" t="s">
        <v>1002</v>
      </c>
      <c r="E1240" s="75"/>
      <c r="F1240" s="75"/>
      <c r="G1240" s="85"/>
      <c r="H1240" s="139"/>
      <c r="I1240" s="293"/>
    </row>
    <row r="1241" spans="2:12" s="90" customFormat="1" ht="10.199999999999999" x14ac:dyDescent="0.25">
      <c r="B1241" s="166"/>
      <c r="C1241" s="223"/>
      <c r="E1241" s="75"/>
      <c r="F1241" s="75"/>
      <c r="G1241" s="85"/>
      <c r="H1241" s="139"/>
      <c r="I1241" s="295"/>
      <c r="L1241" s="85"/>
    </row>
    <row r="1242" spans="2:12" s="90" customFormat="1" ht="10.8" thickBot="1" x14ac:dyDescent="0.3">
      <c r="B1242" s="166"/>
      <c r="C1242" s="223"/>
      <c r="E1242" s="75"/>
      <c r="F1242" s="75"/>
      <c r="G1242" s="85"/>
      <c r="H1242" s="139"/>
      <c r="I1242" s="292"/>
      <c r="L1242" s="85"/>
    </row>
    <row r="1243" spans="2:12" ht="14.4" thickBot="1" x14ac:dyDescent="0.3">
      <c r="B1243" s="330" t="s">
        <v>18</v>
      </c>
      <c r="C1243" s="330"/>
      <c r="D1243" s="331" t="s">
        <v>19</v>
      </c>
      <c r="E1243" s="331"/>
      <c r="F1243" s="331"/>
      <c r="G1243" s="331"/>
      <c r="H1243" s="331"/>
      <c r="I1243" s="291" t="s">
        <v>20</v>
      </c>
    </row>
    <row r="1244" spans="2:12" ht="14.4" thickBot="1" x14ac:dyDescent="0.3">
      <c r="B1244" s="336" t="s">
        <v>1102</v>
      </c>
      <c r="C1244" s="336"/>
      <c r="D1244" s="332" t="s">
        <v>1003</v>
      </c>
      <c r="E1244" s="332"/>
      <c r="F1244" s="332"/>
      <c r="G1244" s="332"/>
      <c r="H1244" s="332"/>
      <c r="I1244" s="80" t="s">
        <v>37</v>
      </c>
    </row>
    <row r="1245" spans="2:12" ht="14.4" thickBot="1" x14ac:dyDescent="0.3">
      <c r="B1245" s="328" t="s">
        <v>21</v>
      </c>
      <c r="C1245" s="328"/>
      <c r="D1245" s="141"/>
      <c r="E1245" s="226" t="s">
        <v>22</v>
      </c>
      <c r="F1245" s="226" t="s">
        <v>23</v>
      </c>
      <c r="G1245" s="88" t="s">
        <v>24</v>
      </c>
      <c r="H1245" s="89" t="s">
        <v>25</v>
      </c>
      <c r="I1245" s="226" t="s">
        <v>26</v>
      </c>
    </row>
    <row r="1246" spans="2:12" x14ac:dyDescent="0.25">
      <c r="B1246" s="166">
        <v>370</v>
      </c>
      <c r="C1246" s="151" t="s">
        <v>1</v>
      </c>
      <c r="D1246" s="84" t="s">
        <v>1004</v>
      </c>
      <c r="E1246" s="75" t="s">
        <v>80</v>
      </c>
      <c r="F1246" s="140">
        <v>1</v>
      </c>
      <c r="G1246" s="77">
        <v>4.4999999999999998E-2</v>
      </c>
      <c r="H1246" s="139">
        <v>83.5</v>
      </c>
      <c r="I1246" s="140">
        <f t="shared" ref="I1246:I1249" si="70">F1246*G1246*H1246</f>
        <v>3.7574999999999998</v>
      </c>
    </row>
    <row r="1247" spans="2:12" x14ac:dyDescent="0.25">
      <c r="B1247" s="166">
        <v>1106</v>
      </c>
      <c r="C1247" s="151" t="s">
        <v>1</v>
      </c>
      <c r="D1247" s="84" t="s">
        <v>1005</v>
      </c>
      <c r="E1247" s="75" t="s">
        <v>82</v>
      </c>
      <c r="F1247" s="140">
        <v>1</v>
      </c>
      <c r="G1247" s="77">
        <v>2.2999999999999998</v>
      </c>
      <c r="H1247" s="139">
        <v>0.85</v>
      </c>
      <c r="I1247" s="140">
        <f t="shared" si="70"/>
        <v>1.9549999999999998</v>
      </c>
    </row>
    <row r="1248" spans="2:12" x14ac:dyDescent="0.25">
      <c r="B1248" s="166">
        <v>1379</v>
      </c>
      <c r="C1248" s="151" t="s">
        <v>1</v>
      </c>
      <c r="D1248" s="84" t="s">
        <v>1006</v>
      </c>
      <c r="E1248" s="75" t="s">
        <v>82</v>
      </c>
      <c r="F1248" s="140">
        <v>1</v>
      </c>
      <c r="G1248" s="77">
        <v>10.65</v>
      </c>
      <c r="H1248" s="139">
        <v>0.72</v>
      </c>
      <c r="I1248" s="140">
        <f t="shared" si="70"/>
        <v>7.6680000000000001</v>
      </c>
    </row>
    <row r="1249" spans="2:17" ht="14.4" thickBot="1" x14ac:dyDescent="0.3">
      <c r="B1249" s="166">
        <v>1714</v>
      </c>
      <c r="C1249" s="151" t="s">
        <v>9</v>
      </c>
      <c r="D1249" s="84" t="s">
        <v>1007</v>
      </c>
      <c r="E1249" s="75" t="s">
        <v>80</v>
      </c>
      <c r="F1249" s="140">
        <f>F1246</f>
        <v>1</v>
      </c>
      <c r="G1249" s="77">
        <v>0.25</v>
      </c>
      <c r="H1249" s="139">
        <v>89.9</v>
      </c>
      <c r="I1249" s="140">
        <f t="shared" si="70"/>
        <v>22.475000000000001</v>
      </c>
    </row>
    <row r="1250" spans="2:17" ht="14.4" thickBot="1" x14ac:dyDescent="0.3">
      <c r="B1250" s="328" t="s">
        <v>28</v>
      </c>
      <c r="C1250" s="328"/>
      <c r="D1250" s="141"/>
      <c r="E1250" s="226" t="s">
        <v>22</v>
      </c>
      <c r="F1250" s="226" t="s">
        <v>23</v>
      </c>
      <c r="G1250" s="88" t="s">
        <v>24</v>
      </c>
      <c r="H1250" s="89" t="s">
        <v>25</v>
      </c>
      <c r="I1250" s="226" t="s">
        <v>26</v>
      </c>
    </row>
    <row r="1251" spans="2:17" x14ac:dyDescent="0.25">
      <c r="B1251" s="166">
        <v>88309</v>
      </c>
      <c r="C1251" s="151" t="s">
        <v>1</v>
      </c>
      <c r="D1251" s="84" t="s">
        <v>87</v>
      </c>
      <c r="E1251" s="75" t="s">
        <v>2</v>
      </c>
      <c r="F1251" s="140">
        <v>1</v>
      </c>
      <c r="G1251" s="77">
        <v>2.5</v>
      </c>
      <c r="H1251" s="139">
        <v>18.86</v>
      </c>
      <c r="I1251" s="140">
        <f t="shared" ref="I1251:I1252" si="71">F1251*G1251*H1251</f>
        <v>47.15</v>
      </c>
    </row>
    <row r="1252" spans="2:17" ht="14.4" thickBot="1" x14ac:dyDescent="0.3">
      <c r="B1252" s="166">
        <v>88316</v>
      </c>
      <c r="C1252" s="151" t="s">
        <v>1</v>
      </c>
      <c r="D1252" s="84" t="s">
        <v>651</v>
      </c>
      <c r="E1252" s="75" t="s">
        <v>2</v>
      </c>
      <c r="F1252" s="140">
        <v>1</v>
      </c>
      <c r="G1252" s="77">
        <v>2.5</v>
      </c>
      <c r="H1252" s="139">
        <v>15.16</v>
      </c>
      <c r="I1252" s="140">
        <f t="shared" si="71"/>
        <v>37.9</v>
      </c>
    </row>
    <row r="1253" spans="2:17" ht="14.4" thickBot="1" x14ac:dyDescent="0.3">
      <c r="B1253" s="328" t="s">
        <v>29</v>
      </c>
      <c r="C1253" s="328"/>
      <c r="D1253" s="328"/>
      <c r="E1253" s="328"/>
      <c r="F1253" s="328"/>
      <c r="G1253" s="328"/>
      <c r="H1253" s="328"/>
      <c r="I1253" s="296">
        <f>SUM(I1246:I1252)</f>
        <v>120.90549999999999</v>
      </c>
    </row>
    <row r="1254" spans="2:17" x14ac:dyDescent="0.25">
      <c r="B1254" s="166"/>
      <c r="C1254" s="223" t="s">
        <v>30</v>
      </c>
      <c r="D1254" s="90" t="s">
        <v>1008</v>
      </c>
      <c r="E1254" s="75"/>
      <c r="F1254" s="75"/>
      <c r="G1254" s="85"/>
      <c r="H1254" s="139"/>
      <c r="I1254" s="293"/>
    </row>
    <row r="1255" spans="2:17" x14ac:dyDescent="0.25">
      <c r="B1255" s="166"/>
      <c r="C1255" s="223"/>
      <c r="E1255" s="75"/>
      <c r="F1255" s="75"/>
      <c r="G1255" s="85"/>
      <c r="H1255" s="139"/>
      <c r="I1255" s="295"/>
    </row>
    <row r="1256" spans="2:17" ht="14.4" thickBot="1" x14ac:dyDescent="0.3">
      <c r="B1256" s="166"/>
      <c r="C1256" s="223"/>
      <c r="E1256" s="75"/>
      <c r="F1256" s="75"/>
      <c r="G1256" s="85"/>
      <c r="H1256" s="139"/>
      <c r="I1256" s="292"/>
    </row>
    <row r="1257" spans="2:17" ht="14.4" thickBot="1" x14ac:dyDescent="0.3">
      <c r="B1257" s="330" t="s">
        <v>18</v>
      </c>
      <c r="C1257" s="330"/>
      <c r="D1257" s="331" t="s">
        <v>19</v>
      </c>
      <c r="E1257" s="331"/>
      <c r="F1257" s="331"/>
      <c r="G1257" s="331"/>
      <c r="H1257" s="331"/>
      <c r="I1257" s="291" t="s">
        <v>20</v>
      </c>
    </row>
    <row r="1258" spans="2:17" ht="14.4" thickBot="1" x14ac:dyDescent="0.3">
      <c r="B1258" s="329" t="s">
        <v>1103</v>
      </c>
      <c r="C1258" s="329"/>
      <c r="D1258" s="332" t="s">
        <v>1009</v>
      </c>
      <c r="E1258" s="332"/>
      <c r="F1258" s="332"/>
      <c r="G1258" s="332"/>
      <c r="H1258" s="332"/>
      <c r="I1258" s="80" t="s">
        <v>472</v>
      </c>
      <c r="Q1258" s="69">
        <f>Q1257/0.12</f>
        <v>0</v>
      </c>
    </row>
    <row r="1259" spans="2:17" ht="14.4" thickBot="1" x14ac:dyDescent="0.3">
      <c r="B1259" s="328" t="s">
        <v>21</v>
      </c>
      <c r="C1259" s="328"/>
      <c r="D1259" s="141"/>
      <c r="E1259" s="226" t="s">
        <v>22</v>
      </c>
      <c r="F1259" s="226" t="s">
        <v>23</v>
      </c>
      <c r="G1259" s="88" t="s">
        <v>24</v>
      </c>
      <c r="H1259" s="89" t="s">
        <v>25</v>
      </c>
      <c r="I1259" s="226" t="s">
        <v>26</v>
      </c>
    </row>
    <row r="1260" spans="2:17" x14ac:dyDescent="0.25">
      <c r="B1260" s="166">
        <v>1561</v>
      </c>
      <c r="C1260" s="151" t="s">
        <v>9</v>
      </c>
      <c r="D1260" s="84" t="s">
        <v>1010</v>
      </c>
      <c r="E1260" s="75" t="s">
        <v>80</v>
      </c>
      <c r="F1260" s="140">
        <v>2</v>
      </c>
      <c r="G1260" s="77">
        <f>0.9848*0.05</f>
        <v>4.9240000000000006E-2</v>
      </c>
      <c r="H1260" s="139">
        <v>7800</v>
      </c>
      <c r="I1260" s="140">
        <f t="shared" ref="I1260:I1262" si="72">F1260*G1260*H1260</f>
        <v>768.14400000000012</v>
      </c>
    </row>
    <row r="1261" spans="2:17" x14ac:dyDescent="0.25">
      <c r="B1261" s="166">
        <v>7861</v>
      </c>
      <c r="C1261" s="151" t="s">
        <v>9</v>
      </c>
      <c r="D1261" s="84" t="s">
        <v>1011</v>
      </c>
      <c r="E1261" s="75" t="s">
        <v>22</v>
      </c>
      <c r="F1261" s="140">
        <v>1</v>
      </c>
      <c r="G1261" s="77">
        <v>12</v>
      </c>
      <c r="H1261" s="139">
        <v>1.0900000000000001</v>
      </c>
      <c r="I1261" s="140">
        <f t="shared" si="72"/>
        <v>13.080000000000002</v>
      </c>
    </row>
    <row r="1262" spans="2:17" ht="14.4" thickBot="1" x14ac:dyDescent="0.3">
      <c r="B1262" s="166">
        <v>4374</v>
      </c>
      <c r="C1262" s="151" t="s">
        <v>1</v>
      </c>
      <c r="D1262" s="84" t="s">
        <v>584</v>
      </c>
      <c r="E1262" s="75" t="s">
        <v>22</v>
      </c>
      <c r="F1262" s="140">
        <v>1</v>
      </c>
      <c r="G1262" s="77">
        <f>G1261</f>
        <v>12</v>
      </c>
      <c r="H1262" s="139">
        <v>0.37</v>
      </c>
      <c r="I1262" s="140">
        <f t="shared" si="72"/>
        <v>4.4399999999999995</v>
      </c>
    </row>
    <row r="1263" spans="2:17" ht="14.4" thickBot="1" x14ac:dyDescent="0.3">
      <c r="B1263" s="328" t="s">
        <v>27</v>
      </c>
      <c r="C1263" s="328"/>
      <c r="D1263" s="141"/>
      <c r="E1263" s="226" t="s">
        <v>22</v>
      </c>
      <c r="F1263" s="226" t="s">
        <v>23</v>
      </c>
      <c r="G1263" s="88" t="s">
        <v>24</v>
      </c>
      <c r="H1263" s="89" t="s">
        <v>25</v>
      </c>
      <c r="I1263" s="226" t="s">
        <v>26</v>
      </c>
    </row>
    <row r="1264" spans="2:17" ht="20.399999999999999" x14ac:dyDescent="0.25">
      <c r="B1264" s="166">
        <v>96522</v>
      </c>
      <c r="C1264" s="151" t="s">
        <v>1</v>
      </c>
      <c r="D1264" s="84" t="s">
        <v>1012</v>
      </c>
      <c r="E1264" s="75" t="s">
        <v>80</v>
      </c>
      <c r="F1264" s="140">
        <v>3</v>
      </c>
      <c r="G1264" s="77">
        <f>0.41*0.41*0.15</f>
        <v>2.5214999999999994E-2</v>
      </c>
      <c r="H1264" s="139">
        <v>107.38</v>
      </c>
      <c r="I1264" s="140">
        <f t="shared" ref="I1264:I1276" si="73">F1264*G1264*H1264</f>
        <v>8.1227600999999989</v>
      </c>
    </row>
    <row r="1265" spans="2:9" ht="20.399999999999999" x14ac:dyDescent="0.25">
      <c r="B1265" s="166">
        <v>94962</v>
      </c>
      <c r="C1265" s="151" t="s">
        <v>1</v>
      </c>
      <c r="D1265" s="84" t="s">
        <v>1013</v>
      </c>
      <c r="E1265" s="75" t="s">
        <v>80</v>
      </c>
      <c r="F1265" s="140">
        <v>3</v>
      </c>
      <c r="G1265" s="77">
        <f>(0.41*0.41*0.05)</f>
        <v>8.4049999999999993E-3</v>
      </c>
      <c r="H1265" s="139">
        <v>327.99</v>
      </c>
      <c r="I1265" s="140">
        <f t="shared" si="73"/>
        <v>8.2702678499999998</v>
      </c>
    </row>
    <row r="1266" spans="2:9" ht="20.399999999999999" x14ac:dyDescent="0.25">
      <c r="B1266" s="166">
        <v>92263</v>
      </c>
      <c r="C1266" s="151" t="s">
        <v>1</v>
      </c>
      <c r="D1266" s="84" t="s">
        <v>1014</v>
      </c>
      <c r="E1266" s="75" t="s">
        <v>37</v>
      </c>
      <c r="F1266" s="140">
        <v>3</v>
      </c>
      <c r="G1266" s="77">
        <f>(0.23+0.14)*2*0.38</f>
        <v>0.28120000000000001</v>
      </c>
      <c r="H1266" s="139">
        <v>172.32</v>
      </c>
      <c r="I1266" s="140">
        <f t="shared" si="73"/>
        <v>145.36915199999999</v>
      </c>
    </row>
    <row r="1267" spans="2:9" x14ac:dyDescent="0.25">
      <c r="B1267" s="166">
        <v>92267</v>
      </c>
      <c r="C1267" s="151" t="s">
        <v>1</v>
      </c>
      <c r="D1267" s="84" t="s">
        <v>1015</v>
      </c>
      <c r="E1267" s="75" t="s">
        <v>37</v>
      </c>
      <c r="F1267" s="140">
        <v>2</v>
      </c>
      <c r="G1267" s="77">
        <v>0.74839999999999995</v>
      </c>
      <c r="H1267" s="139">
        <v>68.819999999999993</v>
      </c>
      <c r="I1267" s="140">
        <f t="shared" si="73"/>
        <v>103.00977599999999</v>
      </c>
    </row>
    <row r="1268" spans="2:9" x14ac:dyDescent="0.25">
      <c r="B1268" s="166">
        <v>96546</v>
      </c>
      <c r="C1268" s="151" t="s">
        <v>1</v>
      </c>
      <c r="D1268" s="84" t="s">
        <v>1016</v>
      </c>
      <c r="E1268" s="75" t="s">
        <v>82</v>
      </c>
      <c r="F1268" s="140">
        <v>3</v>
      </c>
      <c r="G1268" s="77">
        <f>(6*0.37)*0.617</f>
        <v>1.3697399999999997</v>
      </c>
      <c r="H1268" s="139">
        <v>14.57</v>
      </c>
      <c r="I1268" s="140">
        <f t="shared" si="73"/>
        <v>59.871335399999985</v>
      </c>
    </row>
    <row r="1269" spans="2:9" ht="20.399999999999999" x14ac:dyDescent="0.25">
      <c r="B1269" s="166">
        <v>92762</v>
      </c>
      <c r="C1269" s="151" t="s">
        <v>1</v>
      </c>
      <c r="D1269" s="84" t="s">
        <v>1017</v>
      </c>
      <c r="E1269" s="75" t="s">
        <v>82</v>
      </c>
      <c r="F1269" s="140">
        <v>3</v>
      </c>
      <c r="G1269" s="77">
        <f>(0.1+0.485+0.1)*4*0.614</f>
        <v>1.6823599999999999</v>
      </c>
      <c r="H1269" s="139">
        <v>13.6</v>
      </c>
      <c r="I1269" s="140">
        <f t="shared" si="73"/>
        <v>68.640287999999984</v>
      </c>
    </row>
    <row r="1270" spans="2:9" ht="20.399999999999999" x14ac:dyDescent="0.25">
      <c r="B1270" s="166">
        <v>92759</v>
      </c>
      <c r="C1270" s="151" t="s">
        <v>1</v>
      </c>
      <c r="D1270" s="84" t="s">
        <v>1018</v>
      </c>
      <c r="E1270" s="75" t="s">
        <v>82</v>
      </c>
      <c r="F1270" s="140">
        <v>3</v>
      </c>
      <c r="G1270" s="77">
        <f>(4*0.6)*0.109</f>
        <v>0.2616</v>
      </c>
      <c r="H1270" s="139">
        <v>15.58</v>
      </c>
      <c r="I1270" s="140">
        <f t="shared" si="73"/>
        <v>12.227183999999999</v>
      </c>
    </row>
    <row r="1271" spans="2:9" ht="20.399999999999999" x14ac:dyDescent="0.25">
      <c r="B1271" s="166">
        <v>92768</v>
      </c>
      <c r="C1271" s="151" t="s">
        <v>1</v>
      </c>
      <c r="D1271" s="84" t="s">
        <v>1019</v>
      </c>
      <c r="E1271" s="75" t="s">
        <v>82</v>
      </c>
      <c r="F1271" s="140">
        <v>2</v>
      </c>
      <c r="G1271" s="77">
        <f>((1.79738+2.0883+2.3794)+(0.35*15))*0.109</f>
        <v>1.25514372</v>
      </c>
      <c r="H1271" s="139">
        <v>14.57</v>
      </c>
      <c r="I1271" s="140">
        <f t="shared" si="73"/>
        <v>36.574888000800001</v>
      </c>
    </row>
    <row r="1272" spans="2:9" ht="20.399999999999999" x14ac:dyDescent="0.25">
      <c r="B1272" s="166">
        <v>94964</v>
      </c>
      <c r="C1272" s="151" t="s">
        <v>1</v>
      </c>
      <c r="D1272" s="84" t="s">
        <v>981</v>
      </c>
      <c r="E1272" s="75" t="s">
        <v>80</v>
      </c>
      <c r="F1272" s="140">
        <v>1</v>
      </c>
      <c r="G1272" s="77">
        <f>((0.41*0.41*0.1)*3)+((0.23*0.14*0.38)*3)+((0.948*0.05)*2)</f>
        <v>0.18193799999999999</v>
      </c>
      <c r="H1272" s="139">
        <v>407.4</v>
      </c>
      <c r="I1272" s="140">
        <f t="shared" si="73"/>
        <v>74.121541199999996</v>
      </c>
    </row>
    <row r="1273" spans="2:9" x14ac:dyDescent="0.25">
      <c r="B1273" s="166">
        <v>102193</v>
      </c>
      <c r="C1273" s="151" t="s">
        <v>1</v>
      </c>
      <c r="D1273" s="84" t="s">
        <v>1020</v>
      </c>
      <c r="E1273" s="75" t="s">
        <v>37</v>
      </c>
      <c r="F1273" s="140">
        <v>2</v>
      </c>
      <c r="G1273" s="77">
        <f>0.9848+0.2162+0.036</f>
        <v>1.2370000000000001</v>
      </c>
      <c r="H1273" s="139">
        <v>1.51</v>
      </c>
      <c r="I1273" s="140">
        <f t="shared" si="73"/>
        <v>3.7357400000000003</v>
      </c>
    </row>
    <row r="1274" spans="2:9" x14ac:dyDescent="0.25">
      <c r="B1274" s="166">
        <v>102214</v>
      </c>
      <c r="C1274" s="151" t="s">
        <v>1</v>
      </c>
      <c r="D1274" s="84" t="s">
        <v>1021</v>
      </c>
      <c r="E1274" s="75" t="s">
        <v>37</v>
      </c>
      <c r="F1274" s="140">
        <v>2</v>
      </c>
      <c r="G1274" s="77">
        <f>G1273</f>
        <v>1.2370000000000001</v>
      </c>
      <c r="H1274" s="139">
        <v>14.7</v>
      </c>
      <c r="I1274" s="140">
        <f t="shared" si="73"/>
        <v>36.367800000000003</v>
      </c>
    </row>
    <row r="1275" spans="2:9" x14ac:dyDescent="0.25">
      <c r="B1275" s="166">
        <v>95541</v>
      </c>
      <c r="C1275" s="151" t="s">
        <v>1</v>
      </c>
      <c r="D1275" s="84" t="s">
        <v>1022</v>
      </c>
      <c r="E1275" s="75" t="s">
        <v>22</v>
      </c>
      <c r="F1275" s="140">
        <v>1</v>
      </c>
      <c r="G1275" s="77">
        <f>G1261</f>
        <v>12</v>
      </c>
      <c r="H1275" s="139">
        <v>3.38</v>
      </c>
      <c r="I1275" s="140">
        <f t="shared" si="73"/>
        <v>40.56</v>
      </c>
    </row>
    <row r="1276" spans="2:9" ht="14.4" thickBot="1" x14ac:dyDescent="0.3">
      <c r="B1276" s="166" t="s">
        <v>49</v>
      </c>
      <c r="C1276" s="151" t="s">
        <v>1102</v>
      </c>
      <c r="D1276" s="84" t="s">
        <v>1023</v>
      </c>
      <c r="E1276" s="75" t="s">
        <v>37</v>
      </c>
      <c r="F1276" s="140">
        <v>3</v>
      </c>
      <c r="G1276" s="77">
        <f>(0.74*0.38)</f>
        <v>0.28120000000000001</v>
      </c>
      <c r="H1276" s="139">
        <f>$I$1253</f>
        <v>120.90549999999999</v>
      </c>
      <c r="I1276" s="140">
        <f t="shared" si="73"/>
        <v>101.9958798</v>
      </c>
    </row>
    <row r="1277" spans="2:9" ht="14.4" thickBot="1" x14ac:dyDescent="0.3">
      <c r="B1277" s="328" t="s">
        <v>28</v>
      </c>
      <c r="C1277" s="328"/>
      <c r="D1277" s="141"/>
      <c r="E1277" s="226" t="s">
        <v>22</v>
      </c>
      <c r="F1277" s="226" t="s">
        <v>23</v>
      </c>
      <c r="G1277" s="88" t="s">
        <v>24</v>
      </c>
      <c r="H1277" s="89" t="s">
        <v>25</v>
      </c>
      <c r="I1277" s="226" t="s">
        <v>26</v>
      </c>
    </row>
    <row r="1278" spans="2:9" x14ac:dyDescent="0.25">
      <c r="B1278" s="166">
        <v>88261</v>
      </c>
      <c r="C1278" s="151" t="s">
        <v>1</v>
      </c>
      <c r="D1278" s="84" t="s">
        <v>1024</v>
      </c>
      <c r="E1278" s="75" t="s">
        <v>2</v>
      </c>
      <c r="F1278" s="140">
        <v>2</v>
      </c>
      <c r="G1278" s="77">
        <v>2.5750000000000002</v>
      </c>
      <c r="H1278" s="139">
        <v>17.84</v>
      </c>
      <c r="I1278" s="140">
        <f t="shared" ref="I1278:I1279" si="74">F1278*G1278*H1278</f>
        <v>91.876000000000005</v>
      </c>
    </row>
    <row r="1279" spans="2:9" ht="14.4" thickBot="1" x14ac:dyDescent="0.3">
      <c r="B1279" s="166">
        <v>88316</v>
      </c>
      <c r="C1279" s="151" t="s">
        <v>1</v>
      </c>
      <c r="D1279" s="84" t="s">
        <v>43</v>
      </c>
      <c r="E1279" s="75" t="s">
        <v>2</v>
      </c>
      <c r="F1279" s="140">
        <v>2</v>
      </c>
      <c r="G1279" s="77">
        <f>3.96549</f>
        <v>3.96549</v>
      </c>
      <c r="H1279" s="139">
        <v>15.16</v>
      </c>
      <c r="I1279" s="140">
        <f t="shared" si="74"/>
        <v>120.23365680000001</v>
      </c>
    </row>
    <row r="1280" spans="2:9" ht="14.4" thickBot="1" x14ac:dyDescent="0.3">
      <c r="B1280" s="328" t="s">
        <v>29</v>
      </c>
      <c r="C1280" s="328"/>
      <c r="D1280" s="328"/>
      <c r="E1280" s="328"/>
      <c r="F1280" s="328"/>
      <c r="G1280" s="328"/>
      <c r="H1280" s="328"/>
      <c r="I1280" s="296">
        <f>SUM(I1260:I1279)</f>
        <v>1696.6402691508003</v>
      </c>
    </row>
    <row r="1281" spans="2:9" x14ac:dyDescent="0.25">
      <c r="B1281" s="166"/>
      <c r="C1281" s="223" t="s">
        <v>30</v>
      </c>
      <c r="D1281" s="90" t="s">
        <v>1025</v>
      </c>
      <c r="E1281" s="75"/>
      <c r="F1281" s="75"/>
      <c r="G1281" s="85"/>
      <c r="H1281" s="139"/>
      <c r="I1281" s="293"/>
    </row>
    <row r="1282" spans="2:9" x14ac:dyDescent="0.25">
      <c r="B1282" s="166"/>
      <c r="C1282" s="223"/>
      <c r="E1282" s="75"/>
      <c r="F1282" s="75"/>
      <c r="G1282" s="85"/>
      <c r="H1282" s="139"/>
      <c r="I1282" s="295"/>
    </row>
    <row r="1283" spans="2:9" ht="14.4" thickBot="1" x14ac:dyDescent="0.3">
      <c r="B1283" s="166"/>
      <c r="C1283" s="223"/>
      <c r="E1283" s="75"/>
      <c r="F1283" s="75"/>
      <c r="G1283" s="85"/>
      <c r="H1283" s="139"/>
      <c r="I1283" s="292"/>
    </row>
    <row r="1284" spans="2:9" ht="14.4" thickBot="1" x14ac:dyDescent="0.3">
      <c r="B1284" s="330" t="s">
        <v>18</v>
      </c>
      <c r="C1284" s="330"/>
      <c r="D1284" s="331" t="s">
        <v>19</v>
      </c>
      <c r="E1284" s="331"/>
      <c r="F1284" s="331"/>
      <c r="G1284" s="331"/>
      <c r="H1284" s="331"/>
      <c r="I1284" s="291" t="s">
        <v>20</v>
      </c>
    </row>
    <row r="1285" spans="2:9" ht="14.4" thickBot="1" x14ac:dyDescent="0.3">
      <c r="B1285" s="329" t="s">
        <v>1104</v>
      </c>
      <c r="C1285" s="329"/>
      <c r="D1285" s="332" t="s">
        <v>1026</v>
      </c>
      <c r="E1285" s="332"/>
      <c r="F1285" s="332"/>
      <c r="G1285" s="332"/>
      <c r="H1285" s="332"/>
      <c r="I1285" s="80" t="s">
        <v>472</v>
      </c>
    </row>
    <row r="1286" spans="2:9" ht="14.4" thickBot="1" x14ac:dyDescent="0.3">
      <c r="B1286" s="328" t="s">
        <v>21</v>
      </c>
      <c r="C1286" s="328"/>
      <c r="D1286" s="141"/>
      <c r="E1286" s="226" t="s">
        <v>22</v>
      </c>
      <c r="F1286" s="226" t="s">
        <v>23</v>
      </c>
      <c r="G1286" s="88" t="s">
        <v>24</v>
      </c>
      <c r="H1286" s="89" t="s">
        <v>25</v>
      </c>
      <c r="I1286" s="226" t="s">
        <v>26</v>
      </c>
    </row>
    <row r="1287" spans="2:9" x14ac:dyDescent="0.25">
      <c r="B1287" s="166">
        <v>1561</v>
      </c>
      <c r="C1287" s="151" t="s">
        <v>9</v>
      </c>
      <c r="D1287" s="84" t="s">
        <v>1010</v>
      </c>
      <c r="E1287" s="75" t="s">
        <v>80</v>
      </c>
      <c r="F1287" s="140">
        <v>2</v>
      </c>
      <c r="G1287" s="77">
        <f>0.9848*0.05</f>
        <v>4.9240000000000006E-2</v>
      </c>
      <c r="H1287" s="139">
        <v>7800</v>
      </c>
      <c r="I1287" s="140">
        <f t="shared" ref="I1287:I1289" si="75">F1287*G1287*H1287</f>
        <v>768.14400000000012</v>
      </c>
    </row>
    <row r="1288" spans="2:9" x14ac:dyDescent="0.25">
      <c r="B1288" s="166">
        <v>7861</v>
      </c>
      <c r="C1288" s="151" t="s">
        <v>9</v>
      </c>
      <c r="D1288" s="84" t="s">
        <v>1011</v>
      </c>
      <c r="E1288" s="75" t="s">
        <v>22</v>
      </c>
      <c r="F1288" s="140">
        <v>1</v>
      </c>
      <c r="G1288" s="77">
        <v>16</v>
      </c>
      <c r="H1288" s="139">
        <v>1.0900000000000001</v>
      </c>
      <c r="I1288" s="140">
        <f t="shared" si="75"/>
        <v>17.440000000000001</v>
      </c>
    </row>
    <row r="1289" spans="2:9" ht="14.4" thickBot="1" x14ac:dyDescent="0.3">
      <c r="B1289" s="166">
        <v>4374</v>
      </c>
      <c r="C1289" s="151" t="s">
        <v>1</v>
      </c>
      <c r="D1289" s="84" t="s">
        <v>584</v>
      </c>
      <c r="E1289" s="75" t="s">
        <v>22</v>
      </c>
      <c r="F1289" s="140">
        <v>1</v>
      </c>
      <c r="G1289" s="77">
        <f>G1288</f>
        <v>16</v>
      </c>
      <c r="H1289" s="139">
        <v>0.37</v>
      </c>
      <c r="I1289" s="140">
        <f t="shared" si="75"/>
        <v>5.92</v>
      </c>
    </row>
    <row r="1290" spans="2:9" ht="14.4" thickBot="1" x14ac:dyDescent="0.3">
      <c r="B1290" s="328" t="s">
        <v>27</v>
      </c>
      <c r="C1290" s="328"/>
      <c r="D1290" s="141"/>
      <c r="E1290" s="157" t="s">
        <v>22</v>
      </c>
      <c r="F1290" s="157" t="s">
        <v>23</v>
      </c>
      <c r="G1290" s="88" t="s">
        <v>24</v>
      </c>
      <c r="H1290" s="89" t="s">
        <v>25</v>
      </c>
      <c r="I1290" s="226" t="s">
        <v>26</v>
      </c>
    </row>
    <row r="1291" spans="2:9" ht="20.399999999999999" x14ac:dyDescent="0.25">
      <c r="B1291" s="166">
        <v>96522</v>
      </c>
      <c r="C1291" s="151" t="s">
        <v>1</v>
      </c>
      <c r="D1291" s="84" t="s">
        <v>1012</v>
      </c>
      <c r="E1291" s="75" t="s">
        <v>80</v>
      </c>
      <c r="F1291" s="140">
        <v>4</v>
      </c>
      <c r="G1291" s="77">
        <f>0.41*0.41*0.15</f>
        <v>2.5214999999999994E-2</v>
      </c>
      <c r="H1291" s="139">
        <v>107.38</v>
      </c>
      <c r="I1291" s="140">
        <f t="shared" ref="I1291:I1303" si="76">F1291*G1291*H1291</f>
        <v>10.830346799999997</v>
      </c>
    </row>
    <row r="1292" spans="2:9" ht="20.399999999999999" x14ac:dyDescent="0.25">
      <c r="B1292" s="166">
        <v>94962</v>
      </c>
      <c r="C1292" s="151" t="s">
        <v>1</v>
      </c>
      <c r="D1292" s="84" t="s">
        <v>1013</v>
      </c>
      <c r="E1292" s="75" t="s">
        <v>80</v>
      </c>
      <c r="F1292" s="140">
        <v>4</v>
      </c>
      <c r="G1292" s="77">
        <f>(0.41*0.41*0.05)</f>
        <v>8.4049999999999993E-3</v>
      </c>
      <c r="H1292" s="139">
        <v>327.99</v>
      </c>
      <c r="I1292" s="140">
        <f t="shared" si="76"/>
        <v>11.027023799999998</v>
      </c>
    </row>
    <row r="1293" spans="2:9" ht="20.399999999999999" x14ac:dyDescent="0.25">
      <c r="B1293" s="166">
        <v>92263</v>
      </c>
      <c r="C1293" s="151" t="s">
        <v>1</v>
      </c>
      <c r="D1293" s="84" t="s">
        <v>1014</v>
      </c>
      <c r="E1293" s="75" t="s">
        <v>37</v>
      </c>
      <c r="F1293" s="140">
        <v>4</v>
      </c>
      <c r="G1293" s="77">
        <f>(0.23+0.14)*2*0.38</f>
        <v>0.28120000000000001</v>
      </c>
      <c r="H1293" s="139">
        <v>172.32</v>
      </c>
      <c r="I1293" s="140">
        <f t="shared" si="76"/>
        <v>193.825536</v>
      </c>
    </row>
    <row r="1294" spans="2:9" x14ac:dyDescent="0.25">
      <c r="B1294" s="166">
        <v>92267</v>
      </c>
      <c r="C1294" s="151" t="s">
        <v>1</v>
      </c>
      <c r="D1294" s="84" t="s">
        <v>1015</v>
      </c>
      <c r="E1294" s="75" t="s">
        <v>37</v>
      </c>
      <c r="F1294" s="140">
        <v>2</v>
      </c>
      <c r="G1294" s="77">
        <v>0.74839999999999995</v>
      </c>
      <c r="H1294" s="139">
        <v>68.819999999999993</v>
      </c>
      <c r="I1294" s="140">
        <f t="shared" si="76"/>
        <v>103.00977599999999</v>
      </c>
    </row>
    <row r="1295" spans="2:9" x14ac:dyDescent="0.25">
      <c r="B1295" s="166">
        <v>96546</v>
      </c>
      <c r="C1295" s="151" t="s">
        <v>1</v>
      </c>
      <c r="D1295" s="84" t="s">
        <v>1016</v>
      </c>
      <c r="E1295" s="75" t="s">
        <v>82</v>
      </c>
      <c r="F1295" s="140">
        <v>4</v>
      </c>
      <c r="G1295" s="77">
        <f>(6*0.37)*0.617</f>
        <v>1.3697399999999997</v>
      </c>
      <c r="H1295" s="139">
        <v>14.57</v>
      </c>
      <c r="I1295" s="140">
        <f t="shared" si="76"/>
        <v>79.828447199999985</v>
      </c>
    </row>
    <row r="1296" spans="2:9" ht="20.399999999999999" x14ac:dyDescent="0.25">
      <c r="B1296" s="166">
        <v>92762</v>
      </c>
      <c r="C1296" s="151" t="s">
        <v>1</v>
      </c>
      <c r="D1296" s="84" t="s">
        <v>1017</v>
      </c>
      <c r="E1296" s="75" t="s">
        <v>82</v>
      </c>
      <c r="F1296" s="140">
        <v>4</v>
      </c>
      <c r="G1296" s="77">
        <f>(0.1+0.485+0.1)*4*0.614</f>
        <v>1.6823599999999999</v>
      </c>
      <c r="H1296" s="139">
        <v>13.6</v>
      </c>
      <c r="I1296" s="140">
        <f t="shared" si="76"/>
        <v>91.520383999999993</v>
      </c>
    </row>
    <row r="1297" spans="2:9" ht="20.399999999999999" x14ac:dyDescent="0.25">
      <c r="B1297" s="166">
        <v>92759</v>
      </c>
      <c r="C1297" s="151" t="s">
        <v>1</v>
      </c>
      <c r="D1297" s="84" t="s">
        <v>1018</v>
      </c>
      <c r="E1297" s="75" t="s">
        <v>82</v>
      </c>
      <c r="F1297" s="140">
        <v>4</v>
      </c>
      <c r="G1297" s="77">
        <f>(4*0.6)*0.109</f>
        <v>0.2616</v>
      </c>
      <c r="H1297" s="139">
        <v>15.58</v>
      </c>
      <c r="I1297" s="140">
        <f t="shared" si="76"/>
        <v>16.302911999999999</v>
      </c>
    </row>
    <row r="1298" spans="2:9" ht="20.399999999999999" x14ac:dyDescent="0.25">
      <c r="B1298" s="166">
        <v>92768</v>
      </c>
      <c r="C1298" s="151" t="s">
        <v>1</v>
      </c>
      <c r="D1298" s="84" t="s">
        <v>1019</v>
      </c>
      <c r="E1298" s="75" t="s">
        <v>82</v>
      </c>
      <c r="F1298" s="140">
        <v>2</v>
      </c>
      <c r="G1298" s="77">
        <f>((1.79738+2.0883+2.3794)+(0.35*15))*0.109</f>
        <v>1.25514372</v>
      </c>
      <c r="H1298" s="139">
        <v>14.57</v>
      </c>
      <c r="I1298" s="140">
        <f t="shared" si="76"/>
        <v>36.574888000800001</v>
      </c>
    </row>
    <row r="1299" spans="2:9" ht="20.399999999999999" x14ac:dyDescent="0.25">
      <c r="B1299" s="166">
        <v>94964</v>
      </c>
      <c r="C1299" s="151" t="s">
        <v>1</v>
      </c>
      <c r="D1299" s="84" t="s">
        <v>981</v>
      </c>
      <c r="E1299" s="75" t="s">
        <v>80</v>
      </c>
      <c r="F1299" s="140">
        <v>1</v>
      </c>
      <c r="G1299" s="77">
        <f>((0.41*0.41*0.1)*4)+((0.23*0.14*0.38)*4)+((0.948*0.05)*2)</f>
        <v>0.210984</v>
      </c>
      <c r="H1299" s="139">
        <v>407.4</v>
      </c>
      <c r="I1299" s="140">
        <f t="shared" si="76"/>
        <v>85.954881599999993</v>
      </c>
    </row>
    <row r="1300" spans="2:9" x14ac:dyDescent="0.25">
      <c r="B1300" s="166">
        <v>102193</v>
      </c>
      <c r="C1300" s="151" t="s">
        <v>1</v>
      </c>
      <c r="D1300" s="84" t="s">
        <v>1020</v>
      </c>
      <c r="E1300" s="75" t="s">
        <v>37</v>
      </c>
      <c r="F1300" s="140">
        <v>2</v>
      </c>
      <c r="G1300" s="77">
        <f>0.9848+0.2162+0.036</f>
        <v>1.2370000000000001</v>
      </c>
      <c r="H1300" s="139">
        <v>1.51</v>
      </c>
      <c r="I1300" s="140">
        <f t="shared" si="76"/>
        <v>3.7357400000000003</v>
      </c>
    </row>
    <row r="1301" spans="2:9" x14ac:dyDescent="0.25">
      <c r="B1301" s="166">
        <v>102214</v>
      </c>
      <c r="C1301" s="151" t="s">
        <v>1</v>
      </c>
      <c r="D1301" s="84" t="s">
        <v>1021</v>
      </c>
      <c r="E1301" s="75" t="s">
        <v>37</v>
      </c>
      <c r="F1301" s="140">
        <v>2</v>
      </c>
      <c r="G1301" s="77">
        <f>G1300</f>
        <v>1.2370000000000001</v>
      </c>
      <c r="H1301" s="139">
        <v>14.7</v>
      </c>
      <c r="I1301" s="140">
        <f t="shared" si="76"/>
        <v>36.367800000000003</v>
      </c>
    </row>
    <row r="1302" spans="2:9" x14ac:dyDescent="0.25">
      <c r="B1302" s="166">
        <v>95541</v>
      </c>
      <c r="C1302" s="151" t="s">
        <v>1</v>
      </c>
      <c r="D1302" s="84" t="s">
        <v>1022</v>
      </c>
      <c r="E1302" s="75" t="s">
        <v>22</v>
      </c>
      <c r="F1302" s="140">
        <v>1</v>
      </c>
      <c r="G1302" s="77">
        <f>G1288</f>
        <v>16</v>
      </c>
      <c r="H1302" s="139">
        <v>3.38</v>
      </c>
      <c r="I1302" s="140">
        <f t="shared" si="76"/>
        <v>54.08</v>
      </c>
    </row>
    <row r="1303" spans="2:9" ht="14.4" thickBot="1" x14ac:dyDescent="0.3">
      <c r="B1303" s="166" t="s">
        <v>49</v>
      </c>
      <c r="C1303" s="151" t="s">
        <v>1102</v>
      </c>
      <c r="D1303" s="84" t="s">
        <v>1023</v>
      </c>
      <c r="E1303" s="75" t="s">
        <v>37</v>
      </c>
      <c r="F1303" s="140">
        <v>4</v>
      </c>
      <c r="G1303" s="77">
        <f>(0.74*0.38)</f>
        <v>0.28120000000000001</v>
      </c>
      <c r="H1303" s="139">
        <f>$I$1253</f>
        <v>120.90549999999999</v>
      </c>
      <c r="I1303" s="140">
        <f t="shared" si="76"/>
        <v>135.99450639999998</v>
      </c>
    </row>
    <row r="1304" spans="2:9" ht="14.4" thickBot="1" x14ac:dyDescent="0.3">
      <c r="B1304" s="328" t="s">
        <v>28</v>
      </c>
      <c r="C1304" s="328"/>
      <c r="D1304" s="159"/>
      <c r="E1304" s="226" t="s">
        <v>22</v>
      </c>
      <c r="F1304" s="226" t="s">
        <v>23</v>
      </c>
      <c r="G1304" s="88" t="s">
        <v>24</v>
      </c>
      <c r="H1304" s="89" t="s">
        <v>25</v>
      </c>
      <c r="I1304" s="83" t="s">
        <v>26</v>
      </c>
    </row>
    <row r="1305" spans="2:9" x14ac:dyDescent="0.25">
      <c r="B1305" s="166">
        <v>88261</v>
      </c>
      <c r="C1305" s="151" t="s">
        <v>1</v>
      </c>
      <c r="D1305" s="84" t="s">
        <v>1024</v>
      </c>
      <c r="E1305" s="75" t="s">
        <v>2</v>
      </c>
      <c r="F1305" s="140">
        <v>2</v>
      </c>
      <c r="G1305" s="77">
        <v>2.5750000000000002</v>
      </c>
      <c r="H1305" s="139">
        <v>17.84</v>
      </c>
      <c r="I1305" s="140">
        <f t="shared" ref="I1305:I1306" si="77">F1305*G1305*H1305</f>
        <v>91.876000000000005</v>
      </c>
    </row>
    <row r="1306" spans="2:9" ht="14.4" thickBot="1" x14ac:dyDescent="0.3">
      <c r="B1306" s="166">
        <v>88316</v>
      </c>
      <c r="C1306" s="151" t="s">
        <v>1</v>
      </c>
      <c r="D1306" s="84" t="s">
        <v>43</v>
      </c>
      <c r="E1306" s="75" t="s">
        <v>2</v>
      </c>
      <c r="F1306" s="140">
        <v>2</v>
      </c>
      <c r="G1306" s="77">
        <f>3.96549</f>
        <v>3.96549</v>
      </c>
      <c r="H1306" s="139">
        <v>15.16</v>
      </c>
      <c r="I1306" s="140">
        <f t="shared" si="77"/>
        <v>120.23365680000001</v>
      </c>
    </row>
    <row r="1307" spans="2:9" ht="14.4" thickBot="1" x14ac:dyDescent="0.3">
      <c r="B1307" s="328" t="s">
        <v>29</v>
      </c>
      <c r="C1307" s="328"/>
      <c r="D1307" s="328"/>
      <c r="E1307" s="328"/>
      <c r="F1307" s="328"/>
      <c r="G1307" s="328"/>
      <c r="H1307" s="328"/>
      <c r="I1307" s="296">
        <f>SUM(I1287:I1306)</f>
        <v>1862.6658986008003</v>
      </c>
    </row>
    <row r="1308" spans="2:9" x14ac:dyDescent="0.25">
      <c r="B1308" s="166"/>
      <c r="C1308" s="223" t="s">
        <v>30</v>
      </c>
      <c r="D1308" s="90" t="s">
        <v>1025</v>
      </c>
      <c r="E1308" s="75"/>
      <c r="F1308" s="75"/>
      <c r="G1308" s="85"/>
      <c r="H1308" s="139"/>
      <c r="I1308" s="293"/>
    </row>
    <row r="1309" spans="2:9" x14ac:dyDescent="0.25">
      <c r="B1309" s="166"/>
      <c r="C1309" s="223"/>
      <c r="E1309" s="75"/>
      <c r="F1309" s="75"/>
      <c r="G1309" s="85"/>
      <c r="H1309" s="139"/>
      <c r="I1309" s="295"/>
    </row>
    <row r="1310" spans="2:9" ht="14.4" thickBot="1" x14ac:dyDescent="0.3">
      <c r="B1310" s="166"/>
      <c r="C1310" s="223"/>
      <c r="E1310" s="75"/>
      <c r="F1310" s="75"/>
      <c r="G1310" s="85"/>
      <c r="H1310" s="139"/>
      <c r="I1310" s="292"/>
    </row>
    <row r="1311" spans="2:9" ht="14.4" thickBot="1" x14ac:dyDescent="0.3">
      <c r="B1311" s="330" t="s">
        <v>18</v>
      </c>
      <c r="C1311" s="330"/>
      <c r="D1311" s="331" t="s">
        <v>19</v>
      </c>
      <c r="E1311" s="331"/>
      <c r="F1311" s="331"/>
      <c r="G1311" s="331"/>
      <c r="H1311" s="331"/>
      <c r="I1311" s="291" t="s">
        <v>20</v>
      </c>
    </row>
    <row r="1312" spans="2:9" ht="14.4" thickBot="1" x14ac:dyDescent="0.3">
      <c r="B1312" s="329" t="s">
        <v>1105</v>
      </c>
      <c r="C1312" s="329"/>
      <c r="D1312" s="332" t="s">
        <v>1027</v>
      </c>
      <c r="E1312" s="332"/>
      <c r="F1312" s="332"/>
      <c r="G1312" s="332"/>
      <c r="H1312" s="332"/>
      <c r="I1312" s="80" t="s">
        <v>472</v>
      </c>
    </row>
    <row r="1313" spans="2:9" ht="14.4" thickBot="1" x14ac:dyDescent="0.3">
      <c r="B1313" s="328" t="s">
        <v>21</v>
      </c>
      <c r="C1313" s="328"/>
      <c r="D1313" s="159"/>
      <c r="E1313" s="226" t="s">
        <v>22</v>
      </c>
      <c r="F1313" s="226" t="s">
        <v>23</v>
      </c>
      <c r="G1313" s="88" t="s">
        <v>24</v>
      </c>
      <c r="H1313" s="89" t="s">
        <v>25</v>
      </c>
      <c r="I1313" s="83" t="s">
        <v>26</v>
      </c>
    </row>
    <row r="1314" spans="2:9" x14ac:dyDescent="0.25">
      <c r="B1314" s="166">
        <v>1561</v>
      </c>
      <c r="C1314" s="151" t="s">
        <v>9</v>
      </c>
      <c r="D1314" s="84" t="s">
        <v>1010</v>
      </c>
      <c r="E1314" s="75" t="s">
        <v>80</v>
      </c>
      <c r="F1314" s="140">
        <v>3</v>
      </c>
      <c r="G1314" s="77">
        <f>0.9848*0.05</f>
        <v>4.9240000000000006E-2</v>
      </c>
      <c r="H1314" s="139">
        <v>7800</v>
      </c>
      <c r="I1314" s="140">
        <f t="shared" ref="I1314:I1316" si="78">F1314*G1314*H1314</f>
        <v>1152.2160000000001</v>
      </c>
    </row>
    <row r="1315" spans="2:9" x14ac:dyDescent="0.25">
      <c r="B1315" s="166">
        <v>7861</v>
      </c>
      <c r="C1315" s="151" t="s">
        <v>9</v>
      </c>
      <c r="D1315" s="84" t="s">
        <v>1011</v>
      </c>
      <c r="E1315" s="75" t="s">
        <v>22</v>
      </c>
      <c r="F1315" s="140">
        <v>1</v>
      </c>
      <c r="G1315" s="77">
        <v>24</v>
      </c>
      <c r="H1315" s="139">
        <v>1.0900000000000001</v>
      </c>
      <c r="I1315" s="140">
        <f t="shared" si="78"/>
        <v>26.160000000000004</v>
      </c>
    </row>
    <row r="1316" spans="2:9" ht="14.4" thickBot="1" x14ac:dyDescent="0.3">
      <c r="B1316" s="166">
        <v>4374</v>
      </c>
      <c r="C1316" s="151" t="s">
        <v>1</v>
      </c>
      <c r="D1316" s="84" t="s">
        <v>584</v>
      </c>
      <c r="E1316" s="75" t="s">
        <v>22</v>
      </c>
      <c r="F1316" s="140">
        <v>1</v>
      </c>
      <c r="G1316" s="77">
        <f>G1315</f>
        <v>24</v>
      </c>
      <c r="H1316" s="139">
        <v>0.37</v>
      </c>
      <c r="I1316" s="140">
        <f t="shared" si="78"/>
        <v>8.879999999999999</v>
      </c>
    </row>
    <row r="1317" spans="2:9" ht="14.4" thickBot="1" x14ac:dyDescent="0.3">
      <c r="B1317" s="328" t="s">
        <v>27</v>
      </c>
      <c r="C1317" s="328"/>
      <c r="D1317" s="159"/>
      <c r="E1317" s="226" t="s">
        <v>22</v>
      </c>
      <c r="F1317" s="226" t="s">
        <v>23</v>
      </c>
      <c r="G1317" s="88" t="s">
        <v>24</v>
      </c>
      <c r="H1317" s="89" t="s">
        <v>25</v>
      </c>
      <c r="I1317" s="83" t="s">
        <v>26</v>
      </c>
    </row>
    <row r="1318" spans="2:9" ht="20.399999999999999" x14ac:dyDescent="0.25">
      <c r="B1318" s="166">
        <v>96522</v>
      </c>
      <c r="C1318" s="151" t="s">
        <v>1</v>
      </c>
      <c r="D1318" s="84" t="s">
        <v>1012</v>
      </c>
      <c r="E1318" s="75" t="s">
        <v>80</v>
      </c>
      <c r="F1318" s="140">
        <v>6</v>
      </c>
      <c r="G1318" s="77">
        <f>0.41*0.41*0.15</f>
        <v>2.5214999999999994E-2</v>
      </c>
      <c r="H1318" s="139">
        <v>107.38</v>
      </c>
      <c r="I1318" s="140">
        <f t="shared" ref="I1318:I1330" si="79">F1318*G1318*H1318</f>
        <v>16.245520199999998</v>
      </c>
    </row>
    <row r="1319" spans="2:9" ht="20.399999999999999" x14ac:dyDescent="0.25">
      <c r="B1319" s="166">
        <v>94962</v>
      </c>
      <c r="C1319" s="151" t="s">
        <v>1</v>
      </c>
      <c r="D1319" s="84" t="s">
        <v>1013</v>
      </c>
      <c r="E1319" s="75" t="s">
        <v>80</v>
      </c>
      <c r="F1319" s="140">
        <v>6</v>
      </c>
      <c r="G1319" s="77">
        <f>(0.41*0.41*0.05)</f>
        <v>8.4049999999999993E-3</v>
      </c>
      <c r="H1319" s="139">
        <v>327.99</v>
      </c>
      <c r="I1319" s="140">
        <f t="shared" si="79"/>
        <v>16.5405357</v>
      </c>
    </row>
    <row r="1320" spans="2:9" ht="20.399999999999999" x14ac:dyDescent="0.25">
      <c r="B1320" s="166">
        <v>92263</v>
      </c>
      <c r="C1320" s="151" t="s">
        <v>1</v>
      </c>
      <c r="D1320" s="84" t="s">
        <v>1014</v>
      </c>
      <c r="E1320" s="75" t="s">
        <v>37</v>
      </c>
      <c r="F1320" s="140">
        <v>6</v>
      </c>
      <c r="G1320" s="77">
        <f>(0.23+0.14)*2*0.38</f>
        <v>0.28120000000000001</v>
      </c>
      <c r="H1320" s="139">
        <v>172.32</v>
      </c>
      <c r="I1320" s="140">
        <f t="shared" si="79"/>
        <v>290.73830399999997</v>
      </c>
    </row>
    <row r="1321" spans="2:9" x14ac:dyDescent="0.25">
      <c r="B1321" s="166">
        <v>92267</v>
      </c>
      <c r="C1321" s="151" t="s">
        <v>1</v>
      </c>
      <c r="D1321" s="84" t="s">
        <v>1015</v>
      </c>
      <c r="E1321" s="75" t="s">
        <v>37</v>
      </c>
      <c r="F1321" s="140">
        <v>3</v>
      </c>
      <c r="G1321" s="77">
        <v>0.74839999999999995</v>
      </c>
      <c r="H1321" s="139">
        <v>68.819999999999993</v>
      </c>
      <c r="I1321" s="140">
        <f t="shared" si="79"/>
        <v>154.51466399999995</v>
      </c>
    </row>
    <row r="1322" spans="2:9" x14ac:dyDescent="0.25">
      <c r="B1322" s="166">
        <v>96546</v>
      </c>
      <c r="C1322" s="151" t="s">
        <v>1</v>
      </c>
      <c r="D1322" s="84" t="s">
        <v>1016</v>
      </c>
      <c r="E1322" s="75" t="s">
        <v>82</v>
      </c>
      <c r="F1322" s="140">
        <v>6</v>
      </c>
      <c r="G1322" s="77">
        <f>(6*0.37)*0.617</f>
        <v>1.3697399999999997</v>
      </c>
      <c r="H1322" s="139">
        <v>14.57</v>
      </c>
      <c r="I1322" s="140">
        <f t="shared" si="79"/>
        <v>119.74267079999997</v>
      </c>
    </row>
    <row r="1323" spans="2:9" ht="20.399999999999999" x14ac:dyDescent="0.25">
      <c r="B1323" s="166">
        <v>92762</v>
      </c>
      <c r="C1323" s="151" t="s">
        <v>1</v>
      </c>
      <c r="D1323" s="84" t="s">
        <v>1017</v>
      </c>
      <c r="E1323" s="75" t="s">
        <v>82</v>
      </c>
      <c r="F1323" s="140">
        <v>6</v>
      </c>
      <c r="G1323" s="77">
        <f>(0.1+0.485+0.1)*4*0.614</f>
        <v>1.6823599999999999</v>
      </c>
      <c r="H1323" s="139">
        <v>13.6</v>
      </c>
      <c r="I1323" s="140">
        <f t="shared" si="79"/>
        <v>137.28057599999997</v>
      </c>
    </row>
    <row r="1324" spans="2:9" ht="20.399999999999999" x14ac:dyDescent="0.25">
      <c r="B1324" s="166">
        <v>92759</v>
      </c>
      <c r="C1324" s="151" t="s">
        <v>1</v>
      </c>
      <c r="D1324" s="84" t="s">
        <v>1018</v>
      </c>
      <c r="E1324" s="75" t="s">
        <v>82</v>
      </c>
      <c r="F1324" s="140">
        <v>6</v>
      </c>
      <c r="G1324" s="77">
        <f>(4*0.6)*0.109</f>
        <v>0.2616</v>
      </c>
      <c r="H1324" s="139">
        <v>15.58</v>
      </c>
      <c r="I1324" s="140">
        <f t="shared" si="79"/>
        <v>24.454367999999999</v>
      </c>
    </row>
    <row r="1325" spans="2:9" ht="20.399999999999999" x14ac:dyDescent="0.25">
      <c r="B1325" s="166">
        <v>92768</v>
      </c>
      <c r="C1325" s="151" t="s">
        <v>1</v>
      </c>
      <c r="D1325" s="84" t="s">
        <v>1019</v>
      </c>
      <c r="E1325" s="75" t="s">
        <v>82</v>
      </c>
      <c r="F1325" s="140">
        <v>3</v>
      </c>
      <c r="G1325" s="77">
        <f>((1.79738+2.0883+2.3794)+(0.35*15))*0.109</f>
        <v>1.25514372</v>
      </c>
      <c r="H1325" s="139">
        <v>14.57</v>
      </c>
      <c r="I1325" s="140">
        <f t="shared" si="79"/>
        <v>54.862332001200002</v>
      </c>
    </row>
    <row r="1326" spans="2:9" ht="20.399999999999999" x14ac:dyDescent="0.25">
      <c r="B1326" s="166">
        <v>94964</v>
      </c>
      <c r="C1326" s="151" t="s">
        <v>1</v>
      </c>
      <c r="D1326" s="84" t="s">
        <v>981</v>
      </c>
      <c r="E1326" s="75" t="s">
        <v>80</v>
      </c>
      <c r="F1326" s="140">
        <v>1</v>
      </c>
      <c r="G1326" s="77">
        <f>((0.41*0.41*0.1)*6)+((0.23*0.14*0.38)*6)+((0.948*0.05)*3)</f>
        <v>0.31647599999999998</v>
      </c>
      <c r="H1326" s="139">
        <v>407.4</v>
      </c>
      <c r="I1326" s="140">
        <f t="shared" si="79"/>
        <v>128.93232239999998</v>
      </c>
    </row>
    <row r="1327" spans="2:9" x14ac:dyDescent="0.25">
      <c r="B1327" s="166">
        <v>102193</v>
      </c>
      <c r="C1327" s="151" t="s">
        <v>1</v>
      </c>
      <c r="D1327" s="84" t="s">
        <v>1020</v>
      </c>
      <c r="E1327" s="75" t="s">
        <v>37</v>
      </c>
      <c r="F1327" s="140">
        <v>3</v>
      </c>
      <c r="G1327" s="77">
        <f>0.9848+0.2162+0.036</f>
        <v>1.2370000000000001</v>
      </c>
      <c r="H1327" s="139">
        <v>1.51</v>
      </c>
      <c r="I1327" s="140">
        <f t="shared" si="79"/>
        <v>5.6036100000000006</v>
      </c>
    </row>
    <row r="1328" spans="2:9" x14ac:dyDescent="0.25">
      <c r="B1328" s="166">
        <v>102214</v>
      </c>
      <c r="C1328" s="151" t="s">
        <v>1</v>
      </c>
      <c r="D1328" s="84" t="s">
        <v>1021</v>
      </c>
      <c r="E1328" s="75" t="s">
        <v>37</v>
      </c>
      <c r="F1328" s="140">
        <v>3</v>
      </c>
      <c r="G1328" s="77">
        <f>G1327</f>
        <v>1.2370000000000001</v>
      </c>
      <c r="H1328" s="139">
        <v>14.7</v>
      </c>
      <c r="I1328" s="140">
        <f t="shared" si="79"/>
        <v>54.551700000000004</v>
      </c>
    </row>
    <row r="1329" spans="2:9" x14ac:dyDescent="0.25">
      <c r="B1329" s="166">
        <v>95541</v>
      </c>
      <c r="C1329" s="151" t="s">
        <v>1</v>
      </c>
      <c r="D1329" s="84" t="s">
        <v>1022</v>
      </c>
      <c r="E1329" s="75" t="s">
        <v>22</v>
      </c>
      <c r="F1329" s="140">
        <v>1</v>
      </c>
      <c r="G1329" s="77">
        <f>G1315</f>
        <v>24</v>
      </c>
      <c r="H1329" s="139">
        <v>3.38</v>
      </c>
      <c r="I1329" s="140">
        <f t="shared" si="79"/>
        <v>81.12</v>
      </c>
    </row>
    <row r="1330" spans="2:9" ht="14.4" thickBot="1" x14ac:dyDescent="0.3">
      <c r="B1330" s="166" t="s">
        <v>49</v>
      </c>
      <c r="C1330" s="151" t="s">
        <v>1102</v>
      </c>
      <c r="D1330" s="84" t="s">
        <v>1023</v>
      </c>
      <c r="E1330" s="75" t="s">
        <v>37</v>
      </c>
      <c r="F1330" s="140">
        <v>6</v>
      </c>
      <c r="G1330" s="77">
        <f>(0.74*0.38)</f>
        <v>0.28120000000000001</v>
      </c>
      <c r="H1330" s="139">
        <f>$I$1253</f>
        <v>120.90549999999999</v>
      </c>
      <c r="I1330" s="140">
        <f t="shared" si="79"/>
        <v>203.99175959999999</v>
      </c>
    </row>
    <row r="1331" spans="2:9" ht="14.4" thickBot="1" x14ac:dyDescent="0.3">
      <c r="B1331" s="328" t="s">
        <v>28</v>
      </c>
      <c r="C1331" s="328"/>
      <c r="D1331" s="159"/>
      <c r="E1331" s="226" t="s">
        <v>22</v>
      </c>
      <c r="F1331" s="226" t="s">
        <v>23</v>
      </c>
      <c r="G1331" s="88" t="s">
        <v>24</v>
      </c>
      <c r="H1331" s="89" t="s">
        <v>25</v>
      </c>
      <c r="I1331" s="83" t="s">
        <v>26</v>
      </c>
    </row>
    <row r="1332" spans="2:9" x14ac:dyDescent="0.25">
      <c r="B1332" s="166">
        <v>88261</v>
      </c>
      <c r="C1332" s="151" t="s">
        <v>1</v>
      </c>
      <c r="D1332" s="84" t="s">
        <v>1024</v>
      </c>
      <c r="E1332" s="75" t="s">
        <v>2</v>
      </c>
      <c r="F1332" s="140">
        <v>3</v>
      </c>
      <c r="G1332" s="77">
        <v>2.5750000000000002</v>
      </c>
      <c r="H1332" s="139">
        <v>17.84</v>
      </c>
      <c r="I1332" s="140">
        <f t="shared" ref="I1332:I1333" si="80">F1332*G1332*H1332</f>
        <v>137.81400000000002</v>
      </c>
    </row>
    <row r="1333" spans="2:9" ht="14.4" thickBot="1" x14ac:dyDescent="0.3">
      <c r="B1333" s="166">
        <v>88316</v>
      </c>
      <c r="C1333" s="151" t="s">
        <v>1</v>
      </c>
      <c r="D1333" s="84" t="s">
        <v>43</v>
      </c>
      <c r="E1333" s="75" t="s">
        <v>2</v>
      </c>
      <c r="F1333" s="140">
        <v>3</v>
      </c>
      <c r="G1333" s="77">
        <f>3.96549</f>
        <v>3.96549</v>
      </c>
      <c r="H1333" s="139">
        <v>15.16</v>
      </c>
      <c r="I1333" s="140">
        <f t="shared" si="80"/>
        <v>180.35048520000001</v>
      </c>
    </row>
    <row r="1334" spans="2:9" ht="14.4" thickBot="1" x14ac:dyDescent="0.3">
      <c r="B1334" s="328" t="s">
        <v>29</v>
      </c>
      <c r="C1334" s="328"/>
      <c r="D1334" s="328"/>
      <c r="E1334" s="328"/>
      <c r="F1334" s="328"/>
      <c r="G1334" s="328"/>
      <c r="H1334" s="328"/>
      <c r="I1334" s="296">
        <f>SUM(I1314:I1333)</f>
        <v>2793.9988479012004</v>
      </c>
    </row>
    <row r="1335" spans="2:9" x14ac:dyDescent="0.25">
      <c r="B1335" s="166"/>
      <c r="C1335" s="223" t="s">
        <v>30</v>
      </c>
      <c r="D1335" s="90" t="s">
        <v>1025</v>
      </c>
      <c r="E1335" s="75"/>
      <c r="F1335" s="75"/>
      <c r="G1335" s="85"/>
      <c r="H1335" s="139"/>
      <c r="I1335" s="293"/>
    </row>
    <row r="1336" spans="2:9" x14ac:dyDescent="0.25">
      <c r="B1336" s="166"/>
      <c r="C1336" s="223"/>
      <c r="E1336" s="75"/>
      <c r="F1336" s="75"/>
      <c r="G1336" s="85"/>
      <c r="H1336" s="139"/>
      <c r="I1336" s="295"/>
    </row>
    <row r="1337" spans="2:9" ht="14.4" thickBot="1" x14ac:dyDescent="0.3">
      <c r="B1337" s="166"/>
      <c r="C1337" s="223"/>
      <c r="E1337" s="75"/>
      <c r="F1337" s="75"/>
      <c r="G1337" s="85"/>
      <c r="H1337" s="139"/>
      <c r="I1337" s="292"/>
    </row>
    <row r="1338" spans="2:9" ht="14.4" thickBot="1" x14ac:dyDescent="0.3">
      <c r="B1338" s="330" t="s">
        <v>18</v>
      </c>
      <c r="C1338" s="330"/>
      <c r="D1338" s="331" t="s">
        <v>19</v>
      </c>
      <c r="E1338" s="331"/>
      <c r="F1338" s="331"/>
      <c r="G1338" s="331"/>
      <c r="H1338" s="331"/>
      <c r="I1338" s="291" t="s">
        <v>20</v>
      </c>
    </row>
    <row r="1339" spans="2:9" ht="14.4" thickBot="1" x14ac:dyDescent="0.3">
      <c r="B1339" s="329" t="s">
        <v>1106</v>
      </c>
      <c r="C1339" s="329"/>
      <c r="D1339" s="332" t="s">
        <v>1028</v>
      </c>
      <c r="E1339" s="332"/>
      <c r="F1339" s="332"/>
      <c r="G1339" s="332"/>
      <c r="H1339" s="332"/>
      <c r="I1339" s="80" t="s">
        <v>472</v>
      </c>
    </row>
    <row r="1340" spans="2:9" ht="14.4" thickBot="1" x14ac:dyDescent="0.3">
      <c r="B1340" s="328" t="s">
        <v>21</v>
      </c>
      <c r="C1340" s="328"/>
      <c r="D1340" s="159"/>
      <c r="E1340" s="226" t="s">
        <v>22</v>
      </c>
      <c r="F1340" s="226" t="s">
        <v>23</v>
      </c>
      <c r="G1340" s="88" t="s">
        <v>24</v>
      </c>
      <c r="H1340" s="89" t="s">
        <v>25</v>
      </c>
      <c r="I1340" s="83" t="s">
        <v>26</v>
      </c>
    </row>
    <row r="1341" spans="2:9" x14ac:dyDescent="0.25">
      <c r="B1341" s="166">
        <v>1561</v>
      </c>
      <c r="C1341" s="151" t="s">
        <v>9</v>
      </c>
      <c r="D1341" s="84" t="s">
        <v>1010</v>
      </c>
      <c r="E1341" s="75" t="s">
        <v>80</v>
      </c>
      <c r="F1341" s="140">
        <v>3</v>
      </c>
      <c r="G1341" s="77">
        <f>0.9848*0.05</f>
        <v>4.9240000000000006E-2</v>
      </c>
      <c r="H1341" s="139">
        <v>7800</v>
      </c>
      <c r="I1341" s="140">
        <f t="shared" ref="I1341:I1343" si="81">F1341*G1341*H1341</f>
        <v>1152.2160000000001</v>
      </c>
    </row>
    <row r="1342" spans="2:9" x14ac:dyDescent="0.25">
      <c r="B1342" s="166">
        <v>7861</v>
      </c>
      <c r="C1342" s="151" t="s">
        <v>9</v>
      </c>
      <c r="D1342" s="84" t="s">
        <v>1011</v>
      </c>
      <c r="E1342" s="75" t="s">
        <v>22</v>
      </c>
      <c r="F1342" s="140">
        <v>1</v>
      </c>
      <c r="G1342" s="77">
        <v>16</v>
      </c>
      <c r="H1342" s="139">
        <v>1.0900000000000001</v>
      </c>
      <c r="I1342" s="140">
        <f t="shared" si="81"/>
        <v>17.440000000000001</v>
      </c>
    </row>
    <row r="1343" spans="2:9" ht="14.4" thickBot="1" x14ac:dyDescent="0.3">
      <c r="B1343" s="166">
        <v>4374</v>
      </c>
      <c r="C1343" s="151" t="s">
        <v>1</v>
      </c>
      <c r="D1343" s="84" t="s">
        <v>584</v>
      </c>
      <c r="E1343" s="75" t="s">
        <v>22</v>
      </c>
      <c r="F1343" s="140">
        <v>1</v>
      </c>
      <c r="G1343" s="77">
        <f>G1342</f>
        <v>16</v>
      </c>
      <c r="H1343" s="139">
        <v>0.37</v>
      </c>
      <c r="I1343" s="140">
        <f t="shared" si="81"/>
        <v>5.92</v>
      </c>
    </row>
    <row r="1344" spans="2:9" ht="14.4" thickBot="1" x14ac:dyDescent="0.3">
      <c r="B1344" s="328" t="s">
        <v>27</v>
      </c>
      <c r="C1344" s="328"/>
      <c r="D1344" s="159"/>
      <c r="E1344" s="226" t="s">
        <v>22</v>
      </c>
      <c r="F1344" s="226" t="s">
        <v>23</v>
      </c>
      <c r="G1344" s="88" t="s">
        <v>24</v>
      </c>
      <c r="H1344" s="89" t="s">
        <v>25</v>
      </c>
      <c r="I1344" s="83" t="s">
        <v>26</v>
      </c>
    </row>
    <row r="1345" spans="2:9" ht="20.399999999999999" x14ac:dyDescent="0.25">
      <c r="B1345" s="166">
        <v>96522</v>
      </c>
      <c r="C1345" s="151" t="s">
        <v>1</v>
      </c>
      <c r="D1345" s="84" t="s">
        <v>1012</v>
      </c>
      <c r="E1345" s="75" t="s">
        <v>80</v>
      </c>
      <c r="F1345" s="140">
        <v>4</v>
      </c>
      <c r="G1345" s="77">
        <f>0.41*0.41*0.15</f>
        <v>2.5214999999999994E-2</v>
      </c>
      <c r="H1345" s="139">
        <v>107.38</v>
      </c>
      <c r="I1345" s="140">
        <f t="shared" ref="I1345:I1357" si="82">F1345*G1345*H1345</f>
        <v>10.830346799999997</v>
      </c>
    </row>
    <row r="1346" spans="2:9" ht="20.399999999999999" x14ac:dyDescent="0.25">
      <c r="B1346" s="166">
        <v>94962</v>
      </c>
      <c r="C1346" s="151" t="s">
        <v>1</v>
      </c>
      <c r="D1346" s="84" t="s">
        <v>1013</v>
      </c>
      <c r="E1346" s="75" t="s">
        <v>80</v>
      </c>
      <c r="F1346" s="140">
        <v>4</v>
      </c>
      <c r="G1346" s="77">
        <f>(0.41*0.41*0.05)</f>
        <v>8.4049999999999993E-3</v>
      </c>
      <c r="H1346" s="139">
        <v>327.99</v>
      </c>
      <c r="I1346" s="140">
        <f t="shared" si="82"/>
        <v>11.027023799999998</v>
      </c>
    </row>
    <row r="1347" spans="2:9" ht="20.399999999999999" x14ac:dyDescent="0.25">
      <c r="B1347" s="166">
        <v>92263</v>
      </c>
      <c r="C1347" s="151" t="s">
        <v>1</v>
      </c>
      <c r="D1347" s="84" t="s">
        <v>1014</v>
      </c>
      <c r="E1347" s="75" t="s">
        <v>37</v>
      </c>
      <c r="F1347" s="140">
        <v>4</v>
      </c>
      <c r="G1347" s="77">
        <f>(0.23+0.14)*2*0.38</f>
        <v>0.28120000000000001</v>
      </c>
      <c r="H1347" s="139">
        <v>172.32</v>
      </c>
      <c r="I1347" s="140">
        <f t="shared" si="82"/>
        <v>193.825536</v>
      </c>
    </row>
    <row r="1348" spans="2:9" x14ac:dyDescent="0.25">
      <c r="B1348" s="166">
        <v>92267</v>
      </c>
      <c r="C1348" s="151" t="s">
        <v>1</v>
      </c>
      <c r="D1348" s="84" t="s">
        <v>1015</v>
      </c>
      <c r="E1348" s="75" t="s">
        <v>37</v>
      </c>
      <c r="F1348" s="140">
        <v>3</v>
      </c>
      <c r="G1348" s="77">
        <v>0.74839999999999995</v>
      </c>
      <c r="H1348" s="139">
        <v>68.819999999999993</v>
      </c>
      <c r="I1348" s="140">
        <f t="shared" si="82"/>
        <v>154.51466399999995</v>
      </c>
    </row>
    <row r="1349" spans="2:9" x14ac:dyDescent="0.25">
      <c r="B1349" s="166">
        <v>96546</v>
      </c>
      <c r="C1349" s="151" t="s">
        <v>1</v>
      </c>
      <c r="D1349" s="84" t="s">
        <v>1016</v>
      </c>
      <c r="E1349" s="75" t="s">
        <v>82</v>
      </c>
      <c r="F1349" s="140">
        <v>4</v>
      </c>
      <c r="G1349" s="77">
        <f>(6*0.37)*0.617</f>
        <v>1.3697399999999997</v>
      </c>
      <c r="H1349" s="139">
        <v>14.57</v>
      </c>
      <c r="I1349" s="140">
        <f t="shared" si="82"/>
        <v>79.828447199999985</v>
      </c>
    </row>
    <row r="1350" spans="2:9" ht="20.399999999999999" x14ac:dyDescent="0.25">
      <c r="B1350" s="166">
        <v>92762</v>
      </c>
      <c r="C1350" s="151" t="s">
        <v>1</v>
      </c>
      <c r="D1350" s="84" t="s">
        <v>1017</v>
      </c>
      <c r="E1350" s="75" t="s">
        <v>82</v>
      </c>
      <c r="F1350" s="140">
        <v>4</v>
      </c>
      <c r="G1350" s="77">
        <f>(0.1+0.485+0.1)*4*0.614</f>
        <v>1.6823599999999999</v>
      </c>
      <c r="H1350" s="139">
        <v>13.6</v>
      </c>
      <c r="I1350" s="140">
        <f t="shared" si="82"/>
        <v>91.520383999999993</v>
      </c>
    </row>
    <row r="1351" spans="2:9" ht="20.399999999999999" x14ac:dyDescent="0.25">
      <c r="B1351" s="166">
        <v>92759</v>
      </c>
      <c r="C1351" s="151" t="s">
        <v>1</v>
      </c>
      <c r="D1351" s="84" t="s">
        <v>1018</v>
      </c>
      <c r="E1351" s="75" t="s">
        <v>82</v>
      </c>
      <c r="F1351" s="140">
        <v>4</v>
      </c>
      <c r="G1351" s="77">
        <f>(4*0.6)*0.109</f>
        <v>0.2616</v>
      </c>
      <c r="H1351" s="139">
        <v>15.58</v>
      </c>
      <c r="I1351" s="140">
        <f t="shared" si="82"/>
        <v>16.302911999999999</v>
      </c>
    </row>
    <row r="1352" spans="2:9" ht="20.399999999999999" x14ac:dyDescent="0.25">
      <c r="B1352" s="166">
        <v>92768</v>
      </c>
      <c r="C1352" s="151" t="s">
        <v>1</v>
      </c>
      <c r="D1352" s="84" t="s">
        <v>1019</v>
      </c>
      <c r="E1352" s="75" t="s">
        <v>82</v>
      </c>
      <c r="F1352" s="140">
        <v>3</v>
      </c>
      <c r="G1352" s="77">
        <f>((1.79738+2.0883+2.3794)+(0.35*15))*0.109</f>
        <v>1.25514372</v>
      </c>
      <c r="H1352" s="139">
        <v>14.57</v>
      </c>
      <c r="I1352" s="140">
        <f t="shared" si="82"/>
        <v>54.862332001200002</v>
      </c>
    </row>
    <row r="1353" spans="2:9" ht="20.399999999999999" x14ac:dyDescent="0.25">
      <c r="B1353" s="166">
        <v>94964</v>
      </c>
      <c r="C1353" s="151" t="s">
        <v>1</v>
      </c>
      <c r="D1353" s="84" t="s">
        <v>981</v>
      </c>
      <c r="E1353" s="75" t="s">
        <v>80</v>
      </c>
      <c r="F1353" s="140">
        <v>1</v>
      </c>
      <c r="G1353" s="77">
        <f>((0.41*0.41*0.1)*4)+((0.23*0.14*0.38)*4)+((0.948*0.05)*3)</f>
        <v>0.258384</v>
      </c>
      <c r="H1353" s="139">
        <v>407.4</v>
      </c>
      <c r="I1353" s="140">
        <f t="shared" si="82"/>
        <v>105.2656416</v>
      </c>
    </row>
    <row r="1354" spans="2:9" x14ac:dyDescent="0.25">
      <c r="B1354" s="166">
        <v>102193</v>
      </c>
      <c r="C1354" s="151" t="s">
        <v>1</v>
      </c>
      <c r="D1354" s="84" t="s">
        <v>1020</v>
      </c>
      <c r="E1354" s="75" t="s">
        <v>37</v>
      </c>
      <c r="F1354" s="140">
        <v>3</v>
      </c>
      <c r="G1354" s="77">
        <f>0.9848+0.2162+0.036</f>
        <v>1.2370000000000001</v>
      </c>
      <c r="H1354" s="139">
        <v>1.51</v>
      </c>
      <c r="I1354" s="140">
        <f t="shared" si="82"/>
        <v>5.6036100000000006</v>
      </c>
    </row>
    <row r="1355" spans="2:9" x14ac:dyDescent="0.25">
      <c r="B1355" s="166">
        <v>102214</v>
      </c>
      <c r="C1355" s="151" t="s">
        <v>1</v>
      </c>
      <c r="D1355" s="84" t="s">
        <v>1021</v>
      </c>
      <c r="E1355" s="75" t="s">
        <v>37</v>
      </c>
      <c r="F1355" s="140">
        <v>3</v>
      </c>
      <c r="G1355" s="77">
        <f>G1354</f>
        <v>1.2370000000000001</v>
      </c>
      <c r="H1355" s="139">
        <v>14.7</v>
      </c>
      <c r="I1355" s="140">
        <f t="shared" si="82"/>
        <v>54.551700000000004</v>
      </c>
    </row>
    <row r="1356" spans="2:9" x14ac:dyDescent="0.25">
      <c r="B1356" s="166">
        <v>95541</v>
      </c>
      <c r="C1356" s="151" t="s">
        <v>1</v>
      </c>
      <c r="D1356" s="84" t="s">
        <v>1022</v>
      </c>
      <c r="E1356" s="75" t="s">
        <v>22</v>
      </c>
      <c r="F1356" s="140">
        <v>1</v>
      </c>
      <c r="G1356" s="77">
        <f>G1342</f>
        <v>16</v>
      </c>
      <c r="H1356" s="139">
        <v>3.38</v>
      </c>
      <c r="I1356" s="140">
        <f t="shared" si="82"/>
        <v>54.08</v>
      </c>
    </row>
    <row r="1357" spans="2:9" ht="14.4" thickBot="1" x14ac:dyDescent="0.3">
      <c r="B1357" s="166" t="s">
        <v>49</v>
      </c>
      <c r="C1357" s="151" t="s">
        <v>1102</v>
      </c>
      <c r="D1357" s="84" t="s">
        <v>1023</v>
      </c>
      <c r="E1357" s="75" t="s">
        <v>37</v>
      </c>
      <c r="F1357" s="140">
        <v>4</v>
      </c>
      <c r="G1357" s="77">
        <f>(0.74*0.38)</f>
        <v>0.28120000000000001</v>
      </c>
      <c r="H1357" s="139">
        <f>$I$1253</f>
        <v>120.90549999999999</v>
      </c>
      <c r="I1357" s="140">
        <f t="shared" si="82"/>
        <v>135.99450639999998</v>
      </c>
    </row>
    <row r="1358" spans="2:9" ht="14.4" thickBot="1" x14ac:dyDescent="0.3">
      <c r="B1358" s="328" t="s">
        <v>28</v>
      </c>
      <c r="C1358" s="328"/>
      <c r="D1358" s="159"/>
      <c r="E1358" s="226" t="s">
        <v>22</v>
      </c>
      <c r="F1358" s="226" t="s">
        <v>23</v>
      </c>
      <c r="G1358" s="88" t="s">
        <v>24</v>
      </c>
      <c r="H1358" s="89" t="s">
        <v>25</v>
      </c>
      <c r="I1358" s="83" t="s">
        <v>26</v>
      </c>
    </row>
    <row r="1359" spans="2:9" x14ac:dyDescent="0.25">
      <c r="B1359" s="166">
        <v>88261</v>
      </c>
      <c r="C1359" s="151" t="s">
        <v>1</v>
      </c>
      <c r="D1359" s="84" t="s">
        <v>1024</v>
      </c>
      <c r="E1359" s="75" t="s">
        <v>2</v>
      </c>
      <c r="F1359" s="140">
        <v>3</v>
      </c>
      <c r="G1359" s="77">
        <v>2.5750000000000002</v>
      </c>
      <c r="H1359" s="139">
        <v>17.84</v>
      </c>
      <c r="I1359" s="140">
        <f t="shared" ref="I1359:I1360" si="83">F1359*G1359*H1359</f>
        <v>137.81400000000002</v>
      </c>
    </row>
    <row r="1360" spans="2:9" ht="14.4" thickBot="1" x14ac:dyDescent="0.3">
      <c r="B1360" s="166">
        <v>88316</v>
      </c>
      <c r="C1360" s="151" t="s">
        <v>1</v>
      </c>
      <c r="D1360" s="84" t="s">
        <v>43</v>
      </c>
      <c r="E1360" s="75" t="s">
        <v>2</v>
      </c>
      <c r="F1360" s="140">
        <v>3</v>
      </c>
      <c r="G1360" s="77">
        <f>3.96549</f>
        <v>3.96549</v>
      </c>
      <c r="H1360" s="139">
        <v>15.16</v>
      </c>
      <c r="I1360" s="140">
        <f t="shared" si="83"/>
        <v>180.35048520000001</v>
      </c>
    </row>
    <row r="1361" spans="2:10" ht="14.4" thickBot="1" x14ac:dyDescent="0.3">
      <c r="B1361" s="328" t="s">
        <v>29</v>
      </c>
      <c r="C1361" s="328"/>
      <c r="D1361" s="328"/>
      <c r="E1361" s="328"/>
      <c r="F1361" s="328"/>
      <c r="G1361" s="328"/>
      <c r="H1361" s="328"/>
      <c r="I1361" s="296">
        <f>SUM(I1341:I1360)</f>
        <v>2461.9475890012</v>
      </c>
    </row>
    <row r="1362" spans="2:10" x14ac:dyDescent="0.25">
      <c r="B1362" s="166"/>
      <c r="C1362" s="223" t="s">
        <v>30</v>
      </c>
      <c r="D1362" s="90" t="s">
        <v>1025</v>
      </c>
      <c r="E1362" s="75"/>
      <c r="F1362" s="75"/>
      <c r="G1362" s="85"/>
      <c r="H1362" s="139"/>
      <c r="I1362" s="293"/>
    </row>
    <row r="1363" spans="2:10" x14ac:dyDescent="0.25">
      <c r="B1363" s="166"/>
      <c r="C1363" s="223"/>
      <c r="E1363" s="75"/>
      <c r="F1363" s="75"/>
      <c r="G1363" s="85"/>
      <c r="H1363" s="139"/>
      <c r="I1363" s="295"/>
    </row>
    <row r="1364" spans="2:10" ht="14.4" thickBot="1" x14ac:dyDescent="0.3">
      <c r="B1364" s="166"/>
      <c r="C1364" s="223"/>
      <c r="E1364" s="75"/>
      <c r="F1364" s="75"/>
      <c r="G1364" s="85"/>
      <c r="H1364" s="139"/>
      <c r="I1364" s="292"/>
    </row>
    <row r="1365" spans="2:10" ht="14.4" thickBot="1" x14ac:dyDescent="0.3">
      <c r="B1365" s="330" t="s">
        <v>18</v>
      </c>
      <c r="C1365" s="330"/>
      <c r="D1365" s="331" t="s">
        <v>19</v>
      </c>
      <c r="E1365" s="331"/>
      <c r="F1365" s="331"/>
      <c r="G1365" s="331"/>
      <c r="H1365" s="331"/>
      <c r="I1365" s="83" t="s">
        <v>20</v>
      </c>
    </row>
    <row r="1366" spans="2:10" ht="14.4" thickBot="1" x14ac:dyDescent="0.3">
      <c r="B1366" s="329" t="s">
        <v>1107</v>
      </c>
      <c r="C1366" s="329"/>
      <c r="D1366" s="332" t="s">
        <v>1029</v>
      </c>
      <c r="E1366" s="332"/>
      <c r="F1366" s="332"/>
      <c r="G1366" s="332"/>
      <c r="H1366" s="332"/>
      <c r="I1366" s="80" t="s">
        <v>37</v>
      </c>
    </row>
    <row r="1367" spans="2:10" ht="14.4" thickBot="1" x14ac:dyDescent="0.3">
      <c r="B1367" s="328" t="s">
        <v>21</v>
      </c>
      <c r="C1367" s="328"/>
      <c r="D1367" s="159"/>
      <c r="E1367" s="226" t="s">
        <v>22</v>
      </c>
      <c r="F1367" s="226" t="s">
        <v>23</v>
      </c>
      <c r="G1367" s="88" t="s">
        <v>24</v>
      </c>
      <c r="H1367" s="89" t="s">
        <v>25</v>
      </c>
      <c r="I1367" s="83" t="s">
        <v>26</v>
      </c>
    </row>
    <row r="1368" spans="2:10" ht="20.399999999999999" x14ac:dyDescent="0.25">
      <c r="B1368" s="166">
        <v>10478</v>
      </c>
      <c r="C1368" s="151" t="s">
        <v>1</v>
      </c>
      <c r="D1368" s="84" t="s">
        <v>1030</v>
      </c>
      <c r="E1368" s="75" t="s">
        <v>443</v>
      </c>
      <c r="F1368" s="140">
        <v>1</v>
      </c>
      <c r="G1368" s="77">
        <v>0.02</v>
      </c>
      <c r="H1368" s="139">
        <v>27.99</v>
      </c>
      <c r="I1368" s="140">
        <f t="shared" ref="I1368:I1369" si="84">F1368*G1368*H1368</f>
        <v>0.55979999999999996</v>
      </c>
    </row>
    <row r="1369" spans="2:10" ht="14.4" thickBot="1" x14ac:dyDescent="0.3">
      <c r="B1369" s="166"/>
      <c r="C1369" s="151" t="s">
        <v>941</v>
      </c>
      <c r="D1369" s="84" t="s">
        <v>1031</v>
      </c>
      <c r="E1369" s="75" t="s">
        <v>80</v>
      </c>
      <c r="F1369" s="140">
        <v>1</v>
      </c>
      <c r="G1369" s="77">
        <f>0.05*0.07*1</f>
        <v>3.5000000000000005E-3</v>
      </c>
      <c r="H1369" s="139">
        <v>7800</v>
      </c>
      <c r="I1369" s="140">
        <f t="shared" si="84"/>
        <v>27.300000000000004</v>
      </c>
      <c r="J1369" s="161"/>
    </row>
    <row r="1370" spans="2:10" ht="14.4" thickBot="1" x14ac:dyDescent="0.3">
      <c r="B1370" s="328" t="s">
        <v>28</v>
      </c>
      <c r="C1370" s="328"/>
      <c r="D1370" s="159"/>
      <c r="E1370" s="226" t="s">
        <v>22</v>
      </c>
      <c r="F1370" s="226" t="s">
        <v>23</v>
      </c>
      <c r="G1370" s="88" t="s">
        <v>24</v>
      </c>
      <c r="H1370" s="89" t="s">
        <v>25</v>
      </c>
      <c r="I1370" s="83" t="s">
        <v>26</v>
      </c>
    </row>
    <row r="1371" spans="2:10" x14ac:dyDescent="0.25">
      <c r="B1371" s="166">
        <v>88239</v>
      </c>
      <c r="C1371" s="151" t="s">
        <v>1</v>
      </c>
      <c r="D1371" s="84" t="s">
        <v>1032</v>
      </c>
      <c r="E1371" s="75" t="s">
        <v>2</v>
      </c>
      <c r="F1371" s="140">
        <v>1</v>
      </c>
      <c r="G1371" s="77">
        <v>0.15</v>
      </c>
      <c r="H1371" s="139">
        <v>15.96</v>
      </c>
      <c r="I1371" s="140">
        <f t="shared" ref="I1371:I1372" si="85">F1371*G1371*H1371</f>
        <v>2.3940000000000001</v>
      </c>
    </row>
    <row r="1372" spans="2:10" ht="14.4" thickBot="1" x14ac:dyDescent="0.3">
      <c r="B1372" s="166">
        <v>88261</v>
      </c>
      <c r="C1372" s="151" t="s">
        <v>1</v>
      </c>
      <c r="D1372" s="84" t="s">
        <v>1024</v>
      </c>
      <c r="E1372" s="75" t="s">
        <v>2</v>
      </c>
      <c r="F1372" s="140">
        <v>1</v>
      </c>
      <c r="G1372" s="77">
        <v>0.2</v>
      </c>
      <c r="H1372" s="139">
        <v>17.84</v>
      </c>
      <c r="I1372" s="140">
        <f t="shared" si="85"/>
        <v>3.5680000000000001</v>
      </c>
    </row>
    <row r="1373" spans="2:10" ht="14.4" thickBot="1" x14ac:dyDescent="0.3">
      <c r="B1373" s="328" t="s">
        <v>29</v>
      </c>
      <c r="C1373" s="328"/>
      <c r="D1373" s="328"/>
      <c r="E1373" s="328"/>
      <c r="F1373" s="328"/>
      <c r="G1373" s="328"/>
      <c r="H1373" s="328"/>
      <c r="I1373" s="296">
        <f>SUM(I1368:I1372)</f>
        <v>33.821800000000003</v>
      </c>
    </row>
    <row r="1374" spans="2:10" x14ac:dyDescent="0.25">
      <c r="B1374" s="166"/>
      <c r="C1374" s="223" t="s">
        <v>30</v>
      </c>
      <c r="D1374" s="90" t="s">
        <v>1033</v>
      </c>
      <c r="E1374" s="75"/>
      <c r="F1374" s="75"/>
      <c r="G1374" s="85"/>
      <c r="H1374" s="139"/>
      <c r="I1374" s="293"/>
    </row>
    <row r="1375" spans="2:10" x14ac:dyDescent="0.25">
      <c r="B1375" s="166"/>
      <c r="C1375" s="223"/>
      <c r="E1375" s="75"/>
      <c r="F1375" s="75"/>
      <c r="G1375" s="85"/>
      <c r="H1375" s="139"/>
      <c r="I1375" s="295"/>
    </row>
    <row r="1376" spans="2:10" ht="14.4" thickBot="1" x14ac:dyDescent="0.3">
      <c r="B1376" s="166"/>
      <c r="C1376" s="223"/>
      <c r="E1376" s="75"/>
      <c r="F1376" s="75"/>
      <c r="G1376" s="85"/>
      <c r="H1376" s="139"/>
      <c r="I1376" s="292"/>
    </row>
    <row r="1377" spans="2:13" ht="14.4" thickBot="1" x14ac:dyDescent="0.3">
      <c r="B1377" s="330" t="s">
        <v>18</v>
      </c>
      <c r="C1377" s="330"/>
      <c r="D1377" s="331" t="s">
        <v>19</v>
      </c>
      <c r="E1377" s="331"/>
      <c r="F1377" s="331"/>
      <c r="G1377" s="331"/>
      <c r="H1377" s="331"/>
      <c r="I1377" s="291" t="s">
        <v>20</v>
      </c>
    </row>
    <row r="1378" spans="2:13" ht="14.4" thickBot="1" x14ac:dyDescent="0.3">
      <c r="B1378" s="329" t="s">
        <v>1108</v>
      </c>
      <c r="C1378" s="329"/>
      <c r="D1378" s="332" t="s">
        <v>1034</v>
      </c>
      <c r="E1378" s="332"/>
      <c r="F1378" s="332"/>
      <c r="G1378" s="332"/>
      <c r="H1378" s="332"/>
      <c r="I1378" s="80" t="s">
        <v>472</v>
      </c>
    </row>
    <row r="1379" spans="2:13" ht="14.4" thickBot="1" x14ac:dyDescent="0.3">
      <c r="B1379" s="328" t="s">
        <v>21</v>
      </c>
      <c r="C1379" s="328"/>
      <c r="D1379" s="159"/>
      <c r="E1379" s="226" t="s">
        <v>22</v>
      </c>
      <c r="F1379" s="226" t="s">
        <v>23</v>
      </c>
      <c r="G1379" s="88" t="s">
        <v>24</v>
      </c>
      <c r="H1379" s="89" t="s">
        <v>25</v>
      </c>
      <c r="I1379" s="83" t="s">
        <v>26</v>
      </c>
      <c r="M1379" s="69">
        <f>25*0.3</f>
        <v>7.5</v>
      </c>
    </row>
    <row r="1380" spans="2:13" x14ac:dyDescent="0.25">
      <c r="B1380" s="166">
        <v>654</v>
      </c>
      <c r="C1380" s="151" t="s">
        <v>1</v>
      </c>
      <c r="D1380" s="84" t="s">
        <v>1035</v>
      </c>
      <c r="E1380" s="75" t="s">
        <v>22</v>
      </c>
      <c r="F1380" s="140">
        <v>1.8666666666666665</v>
      </c>
      <c r="G1380" s="77">
        <v>33.8476</v>
      </c>
      <c r="H1380" s="139">
        <v>4.18</v>
      </c>
      <c r="I1380" s="140">
        <f t="shared" ref="I1380:I1381" si="86">F1380*G1380*H1380</f>
        <v>264.10154026666663</v>
      </c>
    </row>
    <row r="1381" spans="2:13" ht="21" thickBot="1" x14ac:dyDescent="0.3">
      <c r="B1381" s="166">
        <v>11301</v>
      </c>
      <c r="C1381" s="151" t="s">
        <v>1</v>
      </c>
      <c r="D1381" s="84" t="s">
        <v>1036</v>
      </c>
      <c r="E1381" s="75" t="s">
        <v>22</v>
      </c>
      <c r="F1381" s="140">
        <v>1</v>
      </c>
      <c r="G1381" s="77">
        <v>1</v>
      </c>
      <c r="H1381" s="139">
        <v>660.46</v>
      </c>
      <c r="I1381" s="140">
        <f t="shared" si="86"/>
        <v>660.46</v>
      </c>
    </row>
    <row r="1382" spans="2:13" ht="14.4" thickBot="1" x14ac:dyDescent="0.3">
      <c r="B1382" s="328" t="s">
        <v>27</v>
      </c>
      <c r="C1382" s="328"/>
      <c r="D1382" s="159"/>
      <c r="E1382" s="226" t="s">
        <v>22</v>
      </c>
      <c r="F1382" s="226" t="s">
        <v>23</v>
      </c>
      <c r="G1382" s="88" t="s">
        <v>24</v>
      </c>
      <c r="H1382" s="89" t="s">
        <v>25</v>
      </c>
      <c r="I1382" s="83" t="s">
        <v>26</v>
      </c>
    </row>
    <row r="1383" spans="2:13" ht="30.6" x14ac:dyDescent="0.25">
      <c r="B1383" s="166">
        <v>5678</v>
      </c>
      <c r="C1383" s="151" t="s">
        <v>1</v>
      </c>
      <c r="D1383" s="84" t="s">
        <v>1037</v>
      </c>
      <c r="E1383" s="75" t="s">
        <v>6</v>
      </c>
      <c r="F1383" s="140">
        <v>1.8666666666666665</v>
      </c>
      <c r="G1383" s="77">
        <v>1.9699999999999999E-2</v>
      </c>
      <c r="H1383" s="139">
        <v>115.29</v>
      </c>
      <c r="I1383" s="140">
        <f t="shared" ref="I1383:I1390" si="87">F1383*G1383*H1383</f>
        <v>4.2395975999999989</v>
      </c>
    </row>
    <row r="1384" spans="2:13" ht="30.6" x14ac:dyDescent="0.25">
      <c r="B1384" s="166">
        <v>5679</v>
      </c>
      <c r="C1384" s="151" t="s">
        <v>1</v>
      </c>
      <c r="D1384" s="84" t="s">
        <v>1038</v>
      </c>
      <c r="E1384" s="75" t="s">
        <v>283</v>
      </c>
      <c r="F1384" s="140">
        <v>1.8666666666666665</v>
      </c>
      <c r="G1384" s="77">
        <v>6.6400000000000001E-2</v>
      </c>
      <c r="H1384" s="139">
        <v>40.15</v>
      </c>
      <c r="I1384" s="140">
        <f t="shared" si="87"/>
        <v>4.9764586666666659</v>
      </c>
    </row>
    <row r="1385" spans="2:13" ht="20.399999999999999" x14ac:dyDescent="0.25">
      <c r="B1385" s="166">
        <v>87316</v>
      </c>
      <c r="C1385" s="151" t="s">
        <v>1</v>
      </c>
      <c r="D1385" s="84" t="s">
        <v>1039</v>
      </c>
      <c r="E1385" s="75" t="s">
        <v>80</v>
      </c>
      <c r="F1385" s="140">
        <v>1.8666666666666665</v>
      </c>
      <c r="G1385" s="77">
        <v>2.0999999999999999E-3</v>
      </c>
      <c r="H1385" s="139">
        <v>400.54</v>
      </c>
      <c r="I1385" s="140">
        <f t="shared" si="87"/>
        <v>1.5701167999999996</v>
      </c>
    </row>
    <row r="1386" spans="2:13" ht="21" thickBot="1" x14ac:dyDescent="0.3">
      <c r="B1386" s="166">
        <v>88628</v>
      </c>
      <c r="C1386" s="151" t="s">
        <v>1</v>
      </c>
      <c r="D1386" s="84" t="s">
        <v>847</v>
      </c>
      <c r="E1386" s="75" t="s">
        <v>80</v>
      </c>
      <c r="F1386" s="140">
        <v>1.87</v>
      </c>
      <c r="G1386" s="77">
        <v>0.1404</v>
      </c>
      <c r="H1386" s="139">
        <v>486.93</v>
      </c>
      <c r="I1386" s="140">
        <f t="shared" si="87"/>
        <v>127.84249764</v>
      </c>
    </row>
    <row r="1387" spans="2:13" ht="20.399999999999999" x14ac:dyDescent="0.25">
      <c r="B1387" s="166">
        <v>94964</v>
      </c>
      <c r="C1387" s="151" t="s">
        <v>1</v>
      </c>
      <c r="D1387" s="84" t="s">
        <v>981</v>
      </c>
      <c r="E1387" s="75" t="s">
        <v>80</v>
      </c>
      <c r="F1387" s="140">
        <v>1.87</v>
      </c>
      <c r="G1387" s="77">
        <v>0.16750000000000001</v>
      </c>
      <c r="H1387" s="139">
        <v>407.4</v>
      </c>
      <c r="I1387" s="140">
        <f t="shared" si="87"/>
        <v>127.607865</v>
      </c>
    </row>
    <row r="1388" spans="2:13" ht="20.399999999999999" x14ac:dyDescent="0.25">
      <c r="B1388" s="166">
        <v>97736</v>
      </c>
      <c r="C1388" s="151" t="s">
        <v>1</v>
      </c>
      <c r="D1388" s="84" t="s">
        <v>1040</v>
      </c>
      <c r="E1388" s="75" t="s">
        <v>80</v>
      </c>
      <c r="F1388" s="140">
        <v>1.87</v>
      </c>
      <c r="G1388" s="77">
        <v>0.1008</v>
      </c>
      <c r="H1388" s="139">
        <v>1379.71</v>
      </c>
      <c r="I1388" s="140">
        <f t="shared" si="87"/>
        <v>260.06981616000002</v>
      </c>
    </row>
    <row r="1389" spans="2:13" ht="20.399999999999999" x14ac:dyDescent="0.25">
      <c r="B1389" s="166">
        <v>101617</v>
      </c>
      <c r="C1389" s="151" t="s">
        <v>1</v>
      </c>
      <c r="D1389" s="84" t="s">
        <v>1041</v>
      </c>
      <c r="E1389" s="75" t="s">
        <v>37</v>
      </c>
      <c r="F1389" s="140">
        <v>1.87</v>
      </c>
      <c r="G1389" s="77">
        <v>1.69</v>
      </c>
      <c r="H1389" s="139">
        <v>2.15</v>
      </c>
      <c r="I1389" s="140">
        <f t="shared" si="87"/>
        <v>6.7946449999999992</v>
      </c>
    </row>
    <row r="1390" spans="2:13" ht="31.2" thickBot="1" x14ac:dyDescent="0.3">
      <c r="B1390" s="166">
        <v>87546</v>
      </c>
      <c r="C1390" s="151" t="s">
        <v>1</v>
      </c>
      <c r="D1390" s="84" t="s">
        <v>1042</v>
      </c>
      <c r="E1390" s="75" t="s">
        <v>37</v>
      </c>
      <c r="F1390" s="140">
        <v>1</v>
      </c>
      <c r="G1390" s="77">
        <v>4.032</v>
      </c>
      <c r="H1390" s="139">
        <v>22.86</v>
      </c>
      <c r="I1390" s="140">
        <f t="shared" si="87"/>
        <v>92.171520000000001</v>
      </c>
    </row>
    <row r="1391" spans="2:13" ht="14.4" thickBot="1" x14ac:dyDescent="0.3">
      <c r="B1391" s="328" t="s">
        <v>28</v>
      </c>
      <c r="C1391" s="328"/>
      <c r="D1391" s="159"/>
      <c r="E1391" s="226" t="s">
        <v>22</v>
      </c>
      <c r="F1391" s="226" t="s">
        <v>23</v>
      </c>
      <c r="G1391" s="88" t="s">
        <v>24</v>
      </c>
      <c r="H1391" s="89" t="s">
        <v>25</v>
      </c>
      <c r="I1391" s="83" t="s">
        <v>26</v>
      </c>
    </row>
    <row r="1392" spans="2:13" x14ac:dyDescent="0.25">
      <c r="B1392" s="166">
        <v>88309</v>
      </c>
      <c r="C1392" s="151" t="s">
        <v>1</v>
      </c>
      <c r="D1392" s="84" t="s">
        <v>87</v>
      </c>
      <c r="E1392" s="75" t="s">
        <v>2</v>
      </c>
      <c r="F1392" s="140">
        <v>1.8666666666666665</v>
      </c>
      <c r="G1392" s="77">
        <v>7.2592999999999996</v>
      </c>
      <c r="H1392" s="139">
        <v>18.86</v>
      </c>
      <c r="I1392" s="140">
        <f t="shared" ref="I1392:I1393" si="88">F1392*G1392*H1392</f>
        <v>255.56607626666661</v>
      </c>
    </row>
    <row r="1393" spans="2:9" ht="14.4" thickBot="1" x14ac:dyDescent="0.3">
      <c r="B1393" s="166">
        <v>88316</v>
      </c>
      <c r="C1393" s="151" t="s">
        <v>1</v>
      </c>
      <c r="D1393" s="84" t="s">
        <v>43</v>
      </c>
      <c r="E1393" s="75" t="s">
        <v>2</v>
      </c>
      <c r="F1393" s="140">
        <v>1.8666666666666665</v>
      </c>
      <c r="G1393" s="77">
        <v>7.2592999999999996</v>
      </c>
      <c r="H1393" s="139">
        <v>15.16</v>
      </c>
      <c r="I1393" s="140">
        <f t="shared" si="88"/>
        <v>205.42851093333331</v>
      </c>
    </row>
    <row r="1394" spans="2:9" ht="14.4" thickBot="1" x14ac:dyDescent="0.3">
      <c r="B1394" s="328" t="s">
        <v>29</v>
      </c>
      <c r="C1394" s="328"/>
      <c r="D1394" s="328"/>
      <c r="E1394" s="328"/>
      <c r="F1394" s="328"/>
      <c r="G1394" s="328"/>
      <c r="H1394" s="328"/>
      <c r="I1394" s="296">
        <f>SUM(I1380:I1393)</f>
        <v>2010.8286443333336</v>
      </c>
    </row>
    <row r="1395" spans="2:9" x14ac:dyDescent="0.25">
      <c r="B1395" s="166"/>
      <c r="C1395" s="223" t="s">
        <v>30</v>
      </c>
      <c r="D1395" s="90" t="s">
        <v>1043</v>
      </c>
      <c r="E1395" s="75"/>
      <c r="F1395" s="75"/>
      <c r="G1395" s="85"/>
      <c r="H1395" s="139"/>
      <c r="I1395" s="293"/>
    </row>
    <row r="1396" spans="2:9" x14ac:dyDescent="0.25">
      <c r="B1396" s="166"/>
      <c r="C1396" s="223"/>
      <c r="E1396" s="75"/>
      <c r="F1396" s="75"/>
      <c r="G1396" s="85"/>
      <c r="H1396" s="139"/>
      <c r="I1396" s="295"/>
    </row>
    <row r="1397" spans="2:9" ht="14.4" thickBot="1" x14ac:dyDescent="0.3">
      <c r="B1397" s="166"/>
      <c r="C1397" s="223"/>
      <c r="E1397" s="75"/>
      <c r="F1397" s="75"/>
      <c r="G1397" s="85"/>
      <c r="H1397" s="139"/>
      <c r="I1397" s="292"/>
    </row>
    <row r="1398" spans="2:9" ht="14.4" thickBot="1" x14ac:dyDescent="0.3">
      <c r="B1398" s="330" t="s">
        <v>18</v>
      </c>
      <c r="C1398" s="330"/>
      <c r="D1398" s="331" t="s">
        <v>19</v>
      </c>
      <c r="E1398" s="331"/>
      <c r="F1398" s="331"/>
      <c r="G1398" s="331"/>
      <c r="H1398" s="331"/>
      <c r="I1398" s="291" t="s">
        <v>20</v>
      </c>
    </row>
    <row r="1399" spans="2:9" ht="14.4" thickBot="1" x14ac:dyDescent="0.3">
      <c r="B1399" s="329" t="s">
        <v>1109</v>
      </c>
      <c r="C1399" s="329"/>
      <c r="D1399" s="332" t="s">
        <v>1044</v>
      </c>
      <c r="E1399" s="332"/>
      <c r="F1399" s="332"/>
      <c r="G1399" s="332"/>
      <c r="H1399" s="332"/>
      <c r="I1399" s="80" t="s">
        <v>472</v>
      </c>
    </row>
    <row r="1400" spans="2:9" ht="14.4" thickBot="1" x14ac:dyDescent="0.3">
      <c r="B1400" s="328" t="s">
        <v>21</v>
      </c>
      <c r="C1400" s="328"/>
      <c r="D1400" s="159"/>
      <c r="E1400" s="226" t="s">
        <v>22</v>
      </c>
      <c r="F1400" s="226" t="s">
        <v>23</v>
      </c>
      <c r="G1400" s="88" t="s">
        <v>24</v>
      </c>
      <c r="H1400" s="89" t="s">
        <v>25</v>
      </c>
      <c r="I1400" s="83" t="s">
        <v>26</v>
      </c>
    </row>
    <row r="1401" spans="2:9" x14ac:dyDescent="0.25">
      <c r="B1401" s="166">
        <v>178</v>
      </c>
      <c r="C1401" s="151" t="s">
        <v>9</v>
      </c>
      <c r="D1401" s="84" t="s">
        <v>1045</v>
      </c>
      <c r="E1401" s="75" t="s">
        <v>22</v>
      </c>
      <c r="F1401" s="140">
        <v>1</v>
      </c>
      <c r="G1401" s="77">
        <v>1</v>
      </c>
      <c r="H1401" s="139">
        <v>54.6</v>
      </c>
      <c r="I1401" s="140">
        <f t="shared" ref="I1401:I1409" si="89">F1401*G1401*H1401</f>
        <v>54.6</v>
      </c>
    </row>
    <row r="1402" spans="2:9" x14ac:dyDescent="0.25">
      <c r="B1402" s="166">
        <v>180</v>
      </c>
      <c r="C1402" s="151" t="s">
        <v>9</v>
      </c>
      <c r="D1402" s="84" t="s">
        <v>1046</v>
      </c>
      <c r="E1402" s="75" t="s">
        <v>22</v>
      </c>
      <c r="F1402" s="140">
        <v>1</v>
      </c>
      <c r="G1402" s="77">
        <v>1</v>
      </c>
      <c r="H1402" s="139">
        <v>529.82000000000005</v>
      </c>
      <c r="I1402" s="140">
        <f t="shared" si="89"/>
        <v>529.82000000000005</v>
      </c>
    </row>
    <row r="1403" spans="2:9" ht="30.6" x14ac:dyDescent="0.25">
      <c r="B1403" s="166" t="s">
        <v>1047</v>
      </c>
      <c r="C1403" s="151" t="s">
        <v>1</v>
      </c>
      <c r="D1403" s="84" t="s">
        <v>1048</v>
      </c>
      <c r="E1403" s="75" t="s">
        <v>6</v>
      </c>
      <c r="F1403" s="140">
        <v>1</v>
      </c>
      <c r="G1403" s="77">
        <v>1.2</v>
      </c>
      <c r="H1403" s="139">
        <v>229.82</v>
      </c>
      <c r="I1403" s="140">
        <f t="shared" si="89"/>
        <v>275.78399999999999</v>
      </c>
    </row>
    <row r="1404" spans="2:9" x14ac:dyDescent="0.25">
      <c r="B1404" s="166">
        <v>4718</v>
      </c>
      <c r="C1404" s="151" t="s">
        <v>1</v>
      </c>
      <c r="D1404" s="84" t="s">
        <v>84</v>
      </c>
      <c r="E1404" s="75" t="s">
        <v>80</v>
      </c>
      <c r="F1404" s="140">
        <v>1</v>
      </c>
      <c r="G1404" s="77">
        <v>7.2999999999999995E-2</v>
      </c>
      <c r="H1404" s="139">
        <v>84.85</v>
      </c>
      <c r="I1404" s="140">
        <f t="shared" si="89"/>
        <v>6.1940499999999989</v>
      </c>
    </row>
    <row r="1405" spans="2:9" x14ac:dyDescent="0.25">
      <c r="B1405" s="166">
        <v>4722</v>
      </c>
      <c r="C1405" s="151" t="s">
        <v>1</v>
      </c>
      <c r="D1405" s="84" t="s">
        <v>1049</v>
      </c>
      <c r="E1405" s="75" t="s">
        <v>80</v>
      </c>
      <c r="F1405" s="140">
        <v>1</v>
      </c>
      <c r="G1405" s="77">
        <v>7.2999999999999995E-2</v>
      </c>
      <c r="H1405" s="139">
        <v>79.73</v>
      </c>
      <c r="I1405" s="140">
        <f t="shared" si="89"/>
        <v>5.82029</v>
      </c>
    </row>
    <row r="1406" spans="2:9" ht="20.399999999999999" x14ac:dyDescent="0.25">
      <c r="B1406" s="166">
        <v>11649</v>
      </c>
      <c r="C1406" s="151" t="s">
        <v>1</v>
      </c>
      <c r="D1406" s="84" t="s">
        <v>1050</v>
      </c>
      <c r="E1406" s="75" t="s">
        <v>22</v>
      </c>
      <c r="F1406" s="140">
        <v>1</v>
      </c>
      <c r="G1406" s="77">
        <v>1</v>
      </c>
      <c r="H1406" s="139">
        <v>574.80999999999995</v>
      </c>
      <c r="I1406" s="140">
        <f t="shared" si="89"/>
        <v>574.80999999999995</v>
      </c>
    </row>
    <row r="1407" spans="2:9" ht="20.399999999999999" x14ac:dyDescent="0.25">
      <c r="B1407" s="166">
        <v>12551</v>
      </c>
      <c r="C1407" s="151" t="s">
        <v>9</v>
      </c>
      <c r="D1407" s="84" t="s">
        <v>1051</v>
      </c>
      <c r="E1407" s="75" t="s">
        <v>22</v>
      </c>
      <c r="F1407" s="140">
        <v>1</v>
      </c>
      <c r="G1407" s="77">
        <v>1</v>
      </c>
      <c r="H1407" s="139">
        <v>254.28</v>
      </c>
      <c r="I1407" s="140">
        <f t="shared" si="89"/>
        <v>254.28</v>
      </c>
    </row>
    <row r="1408" spans="2:9" ht="20.399999999999999" x14ac:dyDescent="0.25">
      <c r="B1408" s="166">
        <v>94964</v>
      </c>
      <c r="C1408" s="151" t="s">
        <v>1</v>
      </c>
      <c r="D1408" s="84" t="s">
        <v>981</v>
      </c>
      <c r="E1408" s="75" t="s">
        <v>80</v>
      </c>
      <c r="F1408" s="140">
        <v>1</v>
      </c>
      <c r="G1408" s="77">
        <v>0.58199999999999996</v>
      </c>
      <c r="H1408" s="139">
        <v>407.4</v>
      </c>
      <c r="I1408" s="140">
        <f t="shared" si="89"/>
        <v>237.10679999999996</v>
      </c>
    </row>
    <row r="1409" spans="2:9" ht="21" thickBot="1" x14ac:dyDescent="0.3">
      <c r="B1409" s="166">
        <v>11301</v>
      </c>
      <c r="C1409" s="151" t="s">
        <v>1</v>
      </c>
      <c r="D1409" s="84" t="s">
        <v>1052</v>
      </c>
      <c r="E1409" s="75" t="s">
        <v>22</v>
      </c>
      <c r="F1409" s="140">
        <v>1</v>
      </c>
      <c r="G1409" s="77">
        <v>1</v>
      </c>
      <c r="H1409" s="139">
        <v>660.46</v>
      </c>
      <c r="I1409" s="140">
        <f t="shared" si="89"/>
        <v>660.46</v>
      </c>
    </row>
    <row r="1410" spans="2:9" ht="14.4" thickBot="1" x14ac:dyDescent="0.3">
      <c r="B1410" s="328" t="s">
        <v>27</v>
      </c>
      <c r="C1410" s="328"/>
      <c r="D1410" s="159"/>
      <c r="E1410" s="226" t="s">
        <v>22</v>
      </c>
      <c r="F1410" s="226" t="s">
        <v>23</v>
      </c>
      <c r="G1410" s="88" t="s">
        <v>24</v>
      </c>
      <c r="H1410" s="89" t="s">
        <v>25</v>
      </c>
      <c r="I1410" s="83" t="s">
        <v>26</v>
      </c>
    </row>
    <row r="1411" spans="2:9" ht="21" thickBot="1" x14ac:dyDescent="0.3">
      <c r="B1411" s="166">
        <v>87377</v>
      </c>
      <c r="C1411" s="151" t="s">
        <v>1</v>
      </c>
      <c r="D1411" s="84" t="s">
        <v>1053</v>
      </c>
      <c r="E1411" s="75" t="s">
        <v>80</v>
      </c>
      <c r="F1411" s="140">
        <v>1</v>
      </c>
      <c r="G1411" s="77">
        <v>3.7999999999999999E-2</v>
      </c>
      <c r="H1411" s="139">
        <v>550.86</v>
      </c>
      <c r="I1411" s="140">
        <f t="shared" ref="I1411" si="90">F1411*G1411*H1411</f>
        <v>20.932680000000001</v>
      </c>
    </row>
    <row r="1412" spans="2:9" ht="14.4" thickBot="1" x14ac:dyDescent="0.3">
      <c r="B1412" s="328" t="s">
        <v>28</v>
      </c>
      <c r="C1412" s="328"/>
      <c r="D1412" s="159"/>
      <c r="E1412" s="226" t="s">
        <v>22</v>
      </c>
      <c r="F1412" s="226" t="s">
        <v>23</v>
      </c>
      <c r="G1412" s="88" t="s">
        <v>24</v>
      </c>
      <c r="H1412" s="89" t="s">
        <v>25</v>
      </c>
      <c r="I1412" s="83" t="s">
        <v>26</v>
      </c>
    </row>
    <row r="1413" spans="2:9" x14ac:dyDescent="0.25">
      <c r="B1413" s="166">
        <v>88309</v>
      </c>
      <c r="C1413" s="151" t="s">
        <v>1</v>
      </c>
      <c r="D1413" s="84" t="s">
        <v>87</v>
      </c>
      <c r="E1413" s="75" t="s">
        <v>2</v>
      </c>
      <c r="F1413" s="140">
        <v>1</v>
      </c>
      <c r="G1413" s="77">
        <v>2.25</v>
      </c>
      <c r="H1413" s="139">
        <v>18.86</v>
      </c>
      <c r="I1413" s="140">
        <f t="shared" ref="I1413:I1414" si="91">F1413*G1413*H1413</f>
        <v>42.435000000000002</v>
      </c>
    </row>
    <row r="1414" spans="2:9" ht="14.4" thickBot="1" x14ac:dyDescent="0.3">
      <c r="B1414" s="166">
        <v>88316</v>
      </c>
      <c r="C1414" s="151" t="s">
        <v>1</v>
      </c>
      <c r="D1414" s="84" t="s">
        <v>43</v>
      </c>
      <c r="E1414" s="75" t="s">
        <v>2</v>
      </c>
      <c r="F1414" s="140">
        <v>1</v>
      </c>
      <c r="G1414" s="77">
        <v>4.5</v>
      </c>
      <c r="H1414" s="139">
        <v>15.16</v>
      </c>
      <c r="I1414" s="140">
        <f t="shared" si="91"/>
        <v>68.22</v>
      </c>
    </row>
    <row r="1415" spans="2:9" ht="14.4" thickBot="1" x14ac:dyDescent="0.3">
      <c r="B1415" s="328" t="s">
        <v>29</v>
      </c>
      <c r="C1415" s="328"/>
      <c r="D1415" s="328"/>
      <c r="E1415" s="328"/>
      <c r="F1415" s="328"/>
      <c r="G1415" s="328"/>
      <c r="H1415" s="328"/>
      <c r="I1415" s="296">
        <f>SUM(I1401:I1414)</f>
        <v>2730.4628199999997</v>
      </c>
    </row>
    <row r="1416" spans="2:9" x14ac:dyDescent="0.25">
      <c r="B1416" s="166"/>
      <c r="C1416" s="223" t="s">
        <v>30</v>
      </c>
      <c r="D1416" s="90" t="s">
        <v>1054</v>
      </c>
      <c r="E1416" s="75"/>
      <c r="F1416" s="75"/>
      <c r="G1416" s="85"/>
      <c r="H1416" s="139"/>
      <c r="I1416" s="293"/>
    </row>
    <row r="1417" spans="2:9" x14ac:dyDescent="0.25">
      <c r="B1417" s="166"/>
      <c r="C1417" s="223"/>
      <c r="E1417" s="75"/>
      <c r="F1417" s="75"/>
      <c r="G1417" s="85"/>
      <c r="H1417" s="139"/>
      <c r="I1417" s="295"/>
    </row>
    <row r="1418" spans="2:9" ht="14.4" thickBot="1" x14ac:dyDescent="0.3">
      <c r="B1418" s="166"/>
      <c r="C1418" s="223"/>
      <c r="E1418" s="75"/>
      <c r="F1418" s="75"/>
      <c r="G1418" s="85"/>
      <c r="H1418" s="139"/>
      <c r="I1418" s="292"/>
    </row>
    <row r="1419" spans="2:9" ht="14.4" thickBot="1" x14ac:dyDescent="0.3">
      <c r="B1419" s="330" t="s">
        <v>18</v>
      </c>
      <c r="C1419" s="330"/>
      <c r="D1419" s="331" t="s">
        <v>19</v>
      </c>
      <c r="E1419" s="331"/>
      <c r="F1419" s="331"/>
      <c r="G1419" s="331"/>
      <c r="H1419" s="331"/>
      <c r="I1419" s="291" t="s">
        <v>20</v>
      </c>
    </row>
    <row r="1420" spans="2:9" ht="14.4" thickBot="1" x14ac:dyDescent="0.3">
      <c r="B1420" s="329" t="s">
        <v>1110</v>
      </c>
      <c r="C1420" s="329"/>
      <c r="D1420" s="332" t="s">
        <v>1055</v>
      </c>
      <c r="E1420" s="332"/>
      <c r="F1420" s="332"/>
      <c r="G1420" s="332"/>
      <c r="H1420" s="332"/>
      <c r="I1420" s="80" t="s">
        <v>472</v>
      </c>
    </row>
    <row r="1421" spans="2:9" ht="14.4" thickBot="1" x14ac:dyDescent="0.3">
      <c r="B1421" s="328" t="s">
        <v>21</v>
      </c>
      <c r="C1421" s="328"/>
      <c r="D1421" s="141"/>
      <c r="E1421" s="157" t="s">
        <v>22</v>
      </c>
      <c r="F1421" s="157" t="s">
        <v>23</v>
      </c>
      <c r="G1421" s="88" t="s">
        <v>24</v>
      </c>
      <c r="H1421" s="89" t="s">
        <v>25</v>
      </c>
      <c r="I1421" s="83" t="s">
        <v>26</v>
      </c>
    </row>
    <row r="1422" spans="2:9" ht="20.399999999999999" x14ac:dyDescent="0.25">
      <c r="B1422" s="166">
        <v>12532</v>
      </c>
      <c r="C1422" s="151" t="s">
        <v>1</v>
      </c>
      <c r="D1422" s="84" t="s">
        <v>1056</v>
      </c>
      <c r="E1422" s="75" t="s">
        <v>22</v>
      </c>
      <c r="F1422" s="140">
        <v>1</v>
      </c>
      <c r="G1422" s="77">
        <v>1</v>
      </c>
      <c r="H1422" s="139">
        <v>106.68</v>
      </c>
      <c r="I1422" s="140">
        <f t="shared" ref="I1422:I1423" si="92">F1422*G1422*H1422</f>
        <v>106.68</v>
      </c>
    </row>
    <row r="1423" spans="2:9" ht="14.4" thickBot="1" x14ac:dyDescent="0.3">
      <c r="B1423" s="166">
        <v>4722</v>
      </c>
      <c r="C1423" s="151" t="s">
        <v>1</v>
      </c>
      <c r="D1423" s="84" t="s">
        <v>1057</v>
      </c>
      <c r="E1423" s="75" t="s">
        <v>80</v>
      </c>
      <c r="F1423" s="140">
        <v>1</v>
      </c>
      <c r="G1423" s="77">
        <f>0.2728*0.4</f>
        <v>0.10911999999999999</v>
      </c>
      <c r="H1423" s="139">
        <v>79.73</v>
      </c>
      <c r="I1423" s="140">
        <f t="shared" si="92"/>
        <v>8.7001375999999997</v>
      </c>
    </row>
    <row r="1424" spans="2:9" ht="14.4" thickBot="1" x14ac:dyDescent="0.3">
      <c r="B1424" s="328" t="s">
        <v>27</v>
      </c>
      <c r="C1424" s="328"/>
      <c r="D1424" s="159"/>
      <c r="E1424" s="226" t="s">
        <v>22</v>
      </c>
      <c r="F1424" s="226" t="s">
        <v>23</v>
      </c>
      <c r="G1424" s="88" t="s">
        <v>24</v>
      </c>
      <c r="H1424" s="89" t="s">
        <v>25</v>
      </c>
      <c r="I1424" s="83" t="s">
        <v>26</v>
      </c>
    </row>
    <row r="1425" spans="2:9" x14ac:dyDescent="0.25">
      <c r="B1425" s="166">
        <v>93358</v>
      </c>
      <c r="C1425" s="151" t="s">
        <v>1</v>
      </c>
      <c r="D1425" s="84" t="s">
        <v>839</v>
      </c>
      <c r="E1425" s="75" t="s">
        <v>80</v>
      </c>
      <c r="F1425" s="140">
        <v>1</v>
      </c>
      <c r="G1425" s="77">
        <f>0.6362*0.5</f>
        <v>0.31809999999999999</v>
      </c>
      <c r="H1425" s="139">
        <v>59.97</v>
      </c>
      <c r="I1425" s="140">
        <f t="shared" ref="I1425:I1428" si="93">F1425*G1425*H1425</f>
        <v>19.076456999999998</v>
      </c>
    </row>
    <row r="1426" spans="2:9" ht="20.399999999999999" x14ac:dyDescent="0.25">
      <c r="B1426" s="166">
        <v>90725</v>
      </c>
      <c r="C1426" s="151" t="s">
        <v>1</v>
      </c>
      <c r="D1426" s="84" t="s">
        <v>1058</v>
      </c>
      <c r="E1426" s="75" t="s">
        <v>472</v>
      </c>
      <c r="F1426" s="140">
        <v>1</v>
      </c>
      <c r="G1426" s="77">
        <v>1</v>
      </c>
      <c r="H1426" s="139">
        <v>20.7</v>
      </c>
      <c r="I1426" s="140">
        <f t="shared" si="93"/>
        <v>20.7</v>
      </c>
    </row>
    <row r="1427" spans="2:9" x14ac:dyDescent="0.25">
      <c r="B1427" s="166">
        <v>93382</v>
      </c>
      <c r="C1427" s="151" t="s">
        <v>1</v>
      </c>
      <c r="D1427" s="84" t="s">
        <v>982</v>
      </c>
      <c r="E1427" s="75" t="s">
        <v>80</v>
      </c>
      <c r="F1427" s="140">
        <v>1</v>
      </c>
      <c r="G1427" s="77">
        <f>(0.6362-0.3848)*0.5</f>
        <v>0.12570000000000001</v>
      </c>
      <c r="H1427" s="139">
        <v>21.84</v>
      </c>
      <c r="I1427" s="140">
        <f t="shared" si="93"/>
        <v>2.745288</v>
      </c>
    </row>
    <row r="1428" spans="2:9" ht="31.2" thickBot="1" x14ac:dyDescent="0.3">
      <c r="B1428" s="166">
        <v>87546</v>
      </c>
      <c r="C1428" s="151" t="s">
        <v>1</v>
      </c>
      <c r="D1428" s="84" t="s">
        <v>1042</v>
      </c>
      <c r="E1428" s="75" t="s">
        <v>37</v>
      </c>
      <c r="F1428" s="140">
        <v>1</v>
      </c>
      <c r="G1428" s="77">
        <f>1.885*0.5</f>
        <v>0.9425</v>
      </c>
      <c r="H1428" s="139">
        <v>22.86</v>
      </c>
      <c r="I1428" s="140">
        <f t="shared" si="93"/>
        <v>21.545549999999999</v>
      </c>
    </row>
    <row r="1429" spans="2:9" ht="14.4" thickBot="1" x14ac:dyDescent="0.3">
      <c r="B1429" s="328" t="s">
        <v>28</v>
      </c>
      <c r="C1429" s="328"/>
      <c r="D1429" s="159"/>
      <c r="E1429" s="157" t="s">
        <v>22</v>
      </c>
      <c r="F1429" s="157" t="s">
        <v>23</v>
      </c>
      <c r="G1429" s="88" t="s">
        <v>24</v>
      </c>
      <c r="H1429" s="89" t="s">
        <v>25</v>
      </c>
      <c r="I1429" s="83" t="s">
        <v>26</v>
      </c>
    </row>
    <row r="1430" spans="2:9" ht="14.4" thickBot="1" x14ac:dyDescent="0.3">
      <c r="B1430" s="166">
        <v>88316</v>
      </c>
      <c r="C1430" s="151" t="s">
        <v>1</v>
      </c>
      <c r="D1430" s="84" t="s">
        <v>43</v>
      </c>
      <c r="E1430" s="75" t="s">
        <v>2</v>
      </c>
      <c r="F1430" s="140">
        <v>1</v>
      </c>
      <c r="G1430" s="77">
        <v>2</v>
      </c>
      <c r="H1430" s="139">
        <v>15.16</v>
      </c>
      <c r="I1430" s="140">
        <f t="shared" ref="I1430" si="94">F1430*G1430*H1430</f>
        <v>30.32</v>
      </c>
    </row>
    <row r="1431" spans="2:9" ht="14.4" thickBot="1" x14ac:dyDescent="0.3">
      <c r="B1431" s="328" t="s">
        <v>29</v>
      </c>
      <c r="C1431" s="328"/>
      <c r="D1431" s="328"/>
      <c r="E1431" s="328"/>
      <c r="F1431" s="328"/>
      <c r="G1431" s="328"/>
      <c r="H1431" s="328"/>
      <c r="I1431" s="296">
        <f>SUM(I1422:I1430)</f>
        <v>209.76743259999998</v>
      </c>
    </row>
    <row r="1432" spans="2:9" x14ac:dyDescent="0.25">
      <c r="B1432" s="166"/>
      <c r="C1432" s="223" t="s">
        <v>30</v>
      </c>
      <c r="D1432" s="90" t="s">
        <v>1059</v>
      </c>
      <c r="E1432" s="75"/>
      <c r="F1432" s="75"/>
      <c r="G1432" s="85"/>
      <c r="H1432" s="139"/>
      <c r="I1432" s="293"/>
    </row>
    <row r="1433" spans="2:9" x14ac:dyDescent="0.25">
      <c r="B1433" s="166"/>
      <c r="C1433" s="223"/>
      <c r="E1433" s="75"/>
      <c r="F1433" s="75"/>
      <c r="G1433" s="85"/>
      <c r="H1433" s="139"/>
      <c r="I1433" s="295"/>
    </row>
    <row r="1434" spans="2:9" ht="14.4" thickBot="1" x14ac:dyDescent="0.3">
      <c r="B1434" s="166"/>
      <c r="C1434" s="223"/>
      <c r="E1434" s="75"/>
      <c r="F1434" s="75"/>
      <c r="G1434" s="85"/>
      <c r="H1434" s="139"/>
      <c r="I1434" s="292"/>
    </row>
    <row r="1435" spans="2:9" ht="14.4" thickBot="1" x14ac:dyDescent="0.3">
      <c r="B1435" s="330" t="s">
        <v>18</v>
      </c>
      <c r="C1435" s="330"/>
      <c r="D1435" s="331" t="s">
        <v>19</v>
      </c>
      <c r="E1435" s="331"/>
      <c r="F1435" s="331"/>
      <c r="G1435" s="331"/>
      <c r="H1435" s="331"/>
      <c r="I1435" s="291" t="s">
        <v>20</v>
      </c>
    </row>
    <row r="1436" spans="2:9" ht="14.4" thickBot="1" x14ac:dyDescent="0.3">
      <c r="B1436" s="329" t="s">
        <v>1111</v>
      </c>
      <c r="C1436" s="329"/>
      <c r="D1436" s="332" t="s">
        <v>1060</v>
      </c>
      <c r="E1436" s="332"/>
      <c r="F1436" s="332"/>
      <c r="G1436" s="332"/>
      <c r="H1436" s="332"/>
      <c r="I1436" s="80" t="s">
        <v>472</v>
      </c>
    </row>
    <row r="1437" spans="2:9" ht="14.4" thickBot="1" x14ac:dyDescent="0.3">
      <c r="B1437" s="328" t="s">
        <v>21</v>
      </c>
      <c r="C1437" s="328"/>
      <c r="D1437" s="141"/>
      <c r="E1437" s="157" t="s">
        <v>22</v>
      </c>
      <c r="F1437" s="157" t="s">
        <v>23</v>
      </c>
      <c r="G1437" s="88" t="s">
        <v>24</v>
      </c>
      <c r="H1437" s="89" t="s">
        <v>25</v>
      </c>
      <c r="I1437" s="83" t="s">
        <v>26</v>
      </c>
    </row>
    <row r="1438" spans="2:9" ht="20.399999999999999" x14ac:dyDescent="0.25">
      <c r="B1438" s="166">
        <v>12544</v>
      </c>
      <c r="C1438" s="151" t="s">
        <v>1</v>
      </c>
      <c r="D1438" s="84" t="s">
        <v>1061</v>
      </c>
      <c r="E1438" s="75" t="s">
        <v>22</v>
      </c>
      <c r="F1438" s="140">
        <v>1</v>
      </c>
      <c r="G1438" s="77">
        <v>1</v>
      </c>
      <c r="H1438" s="139">
        <v>139.99</v>
      </c>
      <c r="I1438" s="140">
        <f t="shared" ref="I1438:I1439" si="95">F1438*G1438*H1438</f>
        <v>139.99</v>
      </c>
    </row>
    <row r="1439" spans="2:9" ht="14.4" thickBot="1" x14ac:dyDescent="0.3">
      <c r="B1439" s="166">
        <v>4722</v>
      </c>
      <c r="C1439" s="151" t="s">
        <v>1</v>
      </c>
      <c r="D1439" s="84" t="s">
        <v>1057</v>
      </c>
      <c r="E1439" s="75" t="s">
        <v>80</v>
      </c>
      <c r="F1439" s="140">
        <v>1</v>
      </c>
      <c r="G1439" s="77">
        <f>0.5027*0.4</f>
        <v>0.20108000000000004</v>
      </c>
      <c r="H1439" s="139">
        <v>79.73</v>
      </c>
      <c r="I1439" s="140">
        <f t="shared" si="95"/>
        <v>16.032108400000002</v>
      </c>
    </row>
    <row r="1440" spans="2:9" ht="14.4" thickBot="1" x14ac:dyDescent="0.3">
      <c r="B1440" s="328" t="s">
        <v>27</v>
      </c>
      <c r="C1440" s="328"/>
      <c r="D1440" s="159"/>
      <c r="E1440" s="226" t="s">
        <v>22</v>
      </c>
      <c r="F1440" s="226" t="s">
        <v>23</v>
      </c>
      <c r="G1440" s="88" t="s">
        <v>24</v>
      </c>
      <c r="H1440" s="89" t="s">
        <v>25</v>
      </c>
      <c r="I1440" s="83" t="s">
        <v>26</v>
      </c>
    </row>
    <row r="1441" spans="2:9" x14ac:dyDescent="0.25">
      <c r="B1441" s="166">
        <v>93358</v>
      </c>
      <c r="C1441" s="151" t="s">
        <v>1</v>
      </c>
      <c r="D1441" s="84" t="s">
        <v>839</v>
      </c>
      <c r="E1441" s="75" t="s">
        <v>80</v>
      </c>
      <c r="F1441" s="140">
        <v>1</v>
      </c>
      <c r="G1441" s="77">
        <f>0.9503*0.5</f>
        <v>0.47515000000000002</v>
      </c>
      <c r="H1441" s="139">
        <v>59.97</v>
      </c>
      <c r="I1441" s="140">
        <f t="shared" ref="I1441:I1444" si="96">F1441*G1441*H1441</f>
        <v>28.494745500000001</v>
      </c>
    </row>
    <row r="1442" spans="2:9" ht="20.399999999999999" x14ac:dyDescent="0.25">
      <c r="B1442" s="166">
        <v>90726</v>
      </c>
      <c r="C1442" s="151" t="s">
        <v>1</v>
      </c>
      <c r="D1442" s="84" t="s">
        <v>1062</v>
      </c>
      <c r="E1442" s="75" t="s">
        <v>472</v>
      </c>
      <c r="F1442" s="140">
        <v>1</v>
      </c>
      <c r="G1442" s="77">
        <v>1</v>
      </c>
      <c r="H1442" s="139">
        <v>24.67</v>
      </c>
      <c r="I1442" s="140">
        <f t="shared" si="96"/>
        <v>24.67</v>
      </c>
    </row>
    <row r="1443" spans="2:9" x14ac:dyDescent="0.25">
      <c r="B1443" s="166">
        <v>93382</v>
      </c>
      <c r="C1443" s="151" t="s">
        <v>1</v>
      </c>
      <c r="D1443" s="84" t="s">
        <v>982</v>
      </c>
      <c r="E1443" s="75" t="s">
        <v>80</v>
      </c>
      <c r="F1443" s="140">
        <v>1</v>
      </c>
      <c r="G1443" s="77">
        <f>(0.9503-0.6362)*0.5</f>
        <v>0.15705000000000002</v>
      </c>
      <c r="H1443" s="139">
        <v>21.84</v>
      </c>
      <c r="I1443" s="140">
        <f t="shared" si="96"/>
        <v>3.4299720000000007</v>
      </c>
    </row>
    <row r="1444" spans="2:9" ht="31.2" thickBot="1" x14ac:dyDescent="0.3">
      <c r="B1444" s="166">
        <v>87546</v>
      </c>
      <c r="C1444" s="151" t="s">
        <v>1</v>
      </c>
      <c r="D1444" s="84" t="s">
        <v>1042</v>
      </c>
      <c r="E1444" s="75" t="s">
        <v>37</v>
      </c>
      <c r="F1444" s="140">
        <v>1</v>
      </c>
      <c r="G1444" s="77">
        <f>2.5133*0.5</f>
        <v>1.25665</v>
      </c>
      <c r="H1444" s="139">
        <v>22.86</v>
      </c>
      <c r="I1444" s="140">
        <f t="shared" si="96"/>
        <v>28.727019000000002</v>
      </c>
    </row>
    <row r="1445" spans="2:9" ht="14.4" thickBot="1" x14ac:dyDescent="0.3">
      <c r="B1445" s="328" t="s">
        <v>28</v>
      </c>
      <c r="C1445" s="328"/>
      <c r="D1445" s="159"/>
      <c r="E1445" s="226" t="s">
        <v>22</v>
      </c>
      <c r="F1445" s="226" t="s">
        <v>23</v>
      </c>
      <c r="G1445" s="88" t="s">
        <v>24</v>
      </c>
      <c r="H1445" s="89" t="s">
        <v>25</v>
      </c>
      <c r="I1445" s="83" t="s">
        <v>26</v>
      </c>
    </row>
    <row r="1446" spans="2:9" ht="14.4" thickBot="1" x14ac:dyDescent="0.3">
      <c r="B1446" s="166">
        <v>88316</v>
      </c>
      <c r="C1446" s="151" t="s">
        <v>1</v>
      </c>
      <c r="D1446" s="84" t="s">
        <v>43</v>
      </c>
      <c r="E1446" s="75" t="s">
        <v>2</v>
      </c>
      <c r="F1446" s="140">
        <v>1</v>
      </c>
      <c r="G1446" s="77">
        <v>2</v>
      </c>
      <c r="H1446" s="139">
        <v>15.16</v>
      </c>
      <c r="I1446" s="140">
        <f t="shared" ref="I1446" si="97">F1446*G1446*H1446</f>
        <v>30.32</v>
      </c>
    </row>
    <row r="1447" spans="2:9" ht="14.4" thickBot="1" x14ac:dyDescent="0.3">
      <c r="B1447" s="328" t="s">
        <v>29</v>
      </c>
      <c r="C1447" s="328"/>
      <c r="D1447" s="328"/>
      <c r="E1447" s="328"/>
      <c r="F1447" s="328"/>
      <c r="G1447" s="328"/>
      <c r="H1447" s="328"/>
      <c r="I1447" s="296">
        <f>SUM(I1438:I1446)</f>
        <v>271.66384490000002</v>
      </c>
    </row>
    <row r="1448" spans="2:9" x14ac:dyDescent="0.25">
      <c r="B1448" s="166"/>
      <c r="C1448" s="223" t="s">
        <v>30</v>
      </c>
      <c r="D1448" s="90" t="s">
        <v>1059</v>
      </c>
      <c r="E1448" s="75"/>
      <c r="F1448" s="75"/>
      <c r="G1448" s="85"/>
      <c r="H1448" s="139"/>
      <c r="I1448" s="293"/>
    </row>
    <row r="1449" spans="2:9" x14ac:dyDescent="0.25">
      <c r="B1449" s="166"/>
      <c r="C1449" s="223"/>
      <c r="E1449" s="75"/>
      <c r="F1449" s="75"/>
      <c r="G1449" s="85"/>
      <c r="H1449" s="139"/>
      <c r="I1449" s="295"/>
    </row>
    <row r="1450" spans="2:9" ht="14.4" thickBot="1" x14ac:dyDescent="0.3">
      <c r="B1450" s="166"/>
      <c r="C1450" s="223"/>
      <c r="E1450" s="75"/>
      <c r="F1450" s="75"/>
      <c r="G1450" s="85"/>
      <c r="H1450" s="139"/>
      <c r="I1450" s="292"/>
    </row>
    <row r="1451" spans="2:9" ht="14.4" thickBot="1" x14ac:dyDescent="0.3">
      <c r="B1451" s="330" t="s">
        <v>18</v>
      </c>
      <c r="C1451" s="330"/>
      <c r="D1451" s="331" t="s">
        <v>19</v>
      </c>
      <c r="E1451" s="331"/>
      <c r="F1451" s="331"/>
      <c r="G1451" s="331"/>
      <c r="H1451" s="331"/>
      <c r="I1451" s="291" t="s">
        <v>20</v>
      </c>
    </row>
    <row r="1452" spans="2:9" ht="14.4" thickBot="1" x14ac:dyDescent="0.3">
      <c r="B1452" s="329" t="s">
        <v>1112</v>
      </c>
      <c r="C1452" s="329"/>
      <c r="D1452" s="332" t="s">
        <v>1063</v>
      </c>
      <c r="E1452" s="332"/>
      <c r="F1452" s="332"/>
      <c r="G1452" s="332"/>
      <c r="H1452" s="332"/>
      <c r="I1452" s="80" t="s">
        <v>472</v>
      </c>
    </row>
    <row r="1453" spans="2:9" ht="14.4" thickBot="1" x14ac:dyDescent="0.3">
      <c r="B1453" s="328" t="s">
        <v>21</v>
      </c>
      <c r="C1453" s="328"/>
      <c r="D1453" s="141"/>
      <c r="E1453" s="226" t="s">
        <v>22</v>
      </c>
      <c r="F1453" s="226" t="s">
        <v>23</v>
      </c>
      <c r="G1453" s="88" t="s">
        <v>24</v>
      </c>
      <c r="H1453" s="89" t="s">
        <v>25</v>
      </c>
      <c r="I1453" s="83" t="s">
        <v>26</v>
      </c>
    </row>
    <row r="1454" spans="2:9" ht="21" thickBot="1" x14ac:dyDescent="0.3">
      <c r="B1454" s="166">
        <v>12544</v>
      </c>
      <c r="C1454" s="151" t="s">
        <v>1</v>
      </c>
      <c r="D1454" s="84" t="s">
        <v>1061</v>
      </c>
      <c r="E1454" s="75" t="s">
        <v>22</v>
      </c>
      <c r="F1454" s="140">
        <v>1</v>
      </c>
      <c r="G1454" s="77">
        <v>1</v>
      </c>
      <c r="H1454" s="139">
        <v>139.99</v>
      </c>
      <c r="I1454" s="140">
        <f t="shared" ref="I1454" si="98">F1454*G1454*H1454</f>
        <v>139.99</v>
      </c>
    </row>
    <row r="1455" spans="2:9" ht="14.4" thickBot="1" x14ac:dyDescent="0.3">
      <c r="B1455" s="328" t="s">
        <v>27</v>
      </c>
      <c r="C1455" s="328"/>
      <c r="D1455" s="141"/>
      <c r="E1455" s="226" t="s">
        <v>22</v>
      </c>
      <c r="F1455" s="226" t="s">
        <v>23</v>
      </c>
      <c r="G1455" s="88" t="s">
        <v>24</v>
      </c>
      <c r="H1455" s="89" t="s">
        <v>25</v>
      </c>
      <c r="I1455" s="83" t="s">
        <v>26</v>
      </c>
    </row>
    <row r="1456" spans="2:9" x14ac:dyDescent="0.25">
      <c r="B1456" s="166">
        <v>93358</v>
      </c>
      <c r="C1456" s="151" t="s">
        <v>1</v>
      </c>
      <c r="D1456" s="84" t="s">
        <v>839</v>
      </c>
      <c r="E1456" s="75" t="s">
        <v>80</v>
      </c>
      <c r="F1456" s="140">
        <v>1</v>
      </c>
      <c r="G1456" s="77">
        <f>0.81*0.5</f>
        <v>0.40500000000000003</v>
      </c>
      <c r="H1456" s="139">
        <v>59.97</v>
      </c>
      <c r="I1456" s="140">
        <f t="shared" ref="I1456:I1460" si="99">F1456*G1456*H1456</f>
        <v>24.287850000000002</v>
      </c>
    </row>
    <row r="1457" spans="2:9" ht="20.399999999999999" x14ac:dyDescent="0.25">
      <c r="B1457" s="166">
        <v>97090</v>
      </c>
      <c r="C1457" s="151" t="s">
        <v>1</v>
      </c>
      <c r="D1457" s="84" t="s">
        <v>1064</v>
      </c>
      <c r="E1457" s="75" t="s">
        <v>82</v>
      </c>
      <c r="F1457" s="140">
        <v>1</v>
      </c>
      <c r="G1457" s="77">
        <f>0.81*2.2</f>
        <v>1.7820000000000003</v>
      </c>
      <c r="H1457" s="139">
        <v>25.41</v>
      </c>
      <c r="I1457" s="140">
        <f>F1457*G1457*H1457</f>
        <v>45.280620000000006</v>
      </c>
    </row>
    <row r="1458" spans="2:9" ht="20.399999999999999" x14ac:dyDescent="0.25">
      <c r="B1458" s="166">
        <v>94964</v>
      </c>
      <c r="C1458" s="151" t="s">
        <v>1</v>
      </c>
      <c r="D1458" s="84" t="s">
        <v>981</v>
      </c>
      <c r="E1458" s="75" t="s">
        <v>80</v>
      </c>
      <c r="F1458" s="140">
        <v>1</v>
      </c>
      <c r="G1458" s="77">
        <f>0.5027*0.08</f>
        <v>4.0216000000000002E-2</v>
      </c>
      <c r="H1458" s="139">
        <v>407.4</v>
      </c>
      <c r="I1458" s="140">
        <f>F1458*G1458*H1458</f>
        <v>16.383998399999999</v>
      </c>
    </row>
    <row r="1459" spans="2:9" ht="20.399999999999999" x14ac:dyDescent="0.25">
      <c r="B1459" s="166">
        <v>90727</v>
      </c>
      <c r="C1459" s="151" t="s">
        <v>1</v>
      </c>
      <c r="D1459" s="84" t="s">
        <v>1065</v>
      </c>
      <c r="E1459" s="75" t="s">
        <v>472</v>
      </c>
      <c r="F1459" s="140">
        <v>1</v>
      </c>
      <c r="G1459" s="77">
        <v>2</v>
      </c>
      <c r="H1459" s="139">
        <v>28.58</v>
      </c>
      <c r="I1459" s="140">
        <f t="shared" si="99"/>
        <v>57.16</v>
      </c>
    </row>
    <row r="1460" spans="2:9" x14ac:dyDescent="0.25">
      <c r="B1460" s="166">
        <v>93382</v>
      </c>
      <c r="C1460" s="151" t="s">
        <v>1</v>
      </c>
      <c r="D1460" s="84" t="s">
        <v>982</v>
      </c>
      <c r="E1460" s="75" t="s">
        <v>80</v>
      </c>
      <c r="F1460" s="140">
        <v>1</v>
      </c>
      <c r="G1460" s="77">
        <f>(0.81-0.6362)*0.5</f>
        <v>8.6900000000000033E-2</v>
      </c>
      <c r="H1460" s="139">
        <v>21.84</v>
      </c>
      <c r="I1460" s="140">
        <f t="shared" si="99"/>
        <v>1.8978960000000007</v>
      </c>
    </row>
    <row r="1461" spans="2:9" ht="30.6" x14ac:dyDescent="0.25">
      <c r="B1461" s="166">
        <v>87546</v>
      </c>
      <c r="C1461" s="151" t="s">
        <v>1</v>
      </c>
      <c r="D1461" s="84" t="s">
        <v>1042</v>
      </c>
      <c r="E1461" s="75" t="s">
        <v>37</v>
      </c>
      <c r="F1461" s="140">
        <v>1</v>
      </c>
      <c r="G1461" s="77">
        <f>2.5133*0.5</f>
        <v>1.25665</v>
      </c>
      <c r="H1461" s="139">
        <v>22.86</v>
      </c>
      <c r="I1461" s="140">
        <f>F1461*G1461*H1461</f>
        <v>28.727019000000002</v>
      </c>
    </row>
    <row r="1462" spans="2:9" ht="21" thickBot="1" x14ac:dyDescent="0.3">
      <c r="B1462" s="166">
        <v>97736</v>
      </c>
      <c r="C1462" s="151" t="s">
        <v>1</v>
      </c>
      <c r="D1462" s="84" t="s">
        <v>1040</v>
      </c>
      <c r="E1462" s="75" t="s">
        <v>80</v>
      </c>
      <c r="F1462" s="140">
        <v>1</v>
      </c>
      <c r="G1462" s="77">
        <f>0.81*0.08</f>
        <v>6.480000000000001E-2</v>
      </c>
      <c r="H1462" s="139">
        <v>1379.71</v>
      </c>
      <c r="I1462" s="140">
        <f t="shared" ref="I1462" si="100">F1462*G1462*H1462</f>
        <v>89.405208000000016</v>
      </c>
    </row>
    <row r="1463" spans="2:9" ht="14.4" thickBot="1" x14ac:dyDescent="0.3">
      <c r="B1463" s="328" t="s">
        <v>28</v>
      </c>
      <c r="C1463" s="328"/>
      <c r="D1463" s="141"/>
      <c r="E1463" s="226" t="s">
        <v>22</v>
      </c>
      <c r="F1463" s="226" t="s">
        <v>23</v>
      </c>
      <c r="G1463" s="88" t="s">
        <v>24</v>
      </c>
      <c r="H1463" s="89" t="s">
        <v>25</v>
      </c>
      <c r="I1463" s="83" t="s">
        <v>26</v>
      </c>
    </row>
    <row r="1464" spans="2:9" ht="14.4" thickBot="1" x14ac:dyDescent="0.3">
      <c r="B1464" s="166">
        <v>88316</v>
      </c>
      <c r="C1464" s="151" t="s">
        <v>1</v>
      </c>
      <c r="D1464" s="84" t="s">
        <v>43</v>
      </c>
      <c r="E1464" s="75" t="s">
        <v>2</v>
      </c>
      <c r="F1464" s="140">
        <v>1</v>
      </c>
      <c r="G1464" s="77">
        <v>2</v>
      </c>
      <c r="H1464" s="139">
        <v>15.16</v>
      </c>
      <c r="I1464" s="140">
        <f t="shared" ref="I1464" si="101">F1464*G1464*H1464</f>
        <v>30.32</v>
      </c>
    </row>
    <row r="1465" spans="2:9" ht="14.4" thickBot="1" x14ac:dyDescent="0.3">
      <c r="B1465" s="328" t="s">
        <v>29</v>
      </c>
      <c r="C1465" s="328"/>
      <c r="D1465" s="328"/>
      <c r="E1465" s="328"/>
      <c r="F1465" s="328"/>
      <c r="G1465" s="328"/>
      <c r="H1465" s="328"/>
      <c r="I1465" s="296">
        <f>SUM(I1454:I1464)</f>
        <v>433.45259140000002</v>
      </c>
    </row>
    <row r="1466" spans="2:9" x14ac:dyDescent="0.25">
      <c r="B1466" s="166"/>
      <c r="C1466" s="223" t="s">
        <v>30</v>
      </c>
      <c r="D1466" s="90" t="s">
        <v>1059</v>
      </c>
      <c r="E1466" s="75"/>
      <c r="F1466" s="75"/>
      <c r="G1466" s="85"/>
      <c r="H1466" s="139"/>
      <c r="I1466" s="293"/>
    </row>
    <row r="1467" spans="2:9" x14ac:dyDescent="0.25">
      <c r="B1467" s="166"/>
      <c r="C1467" s="223"/>
      <c r="E1467" s="75"/>
      <c r="F1467" s="75"/>
      <c r="G1467" s="85"/>
      <c r="H1467" s="139"/>
      <c r="I1467" s="295"/>
    </row>
    <row r="1468" spans="2:9" ht="14.4" thickBot="1" x14ac:dyDescent="0.3">
      <c r="B1468" s="166"/>
      <c r="C1468" s="223"/>
      <c r="E1468" s="75"/>
      <c r="F1468" s="75"/>
      <c r="G1468" s="85"/>
      <c r="H1468" s="139"/>
      <c r="I1468" s="292"/>
    </row>
    <row r="1469" spans="2:9" ht="14.4" thickBot="1" x14ac:dyDescent="0.3">
      <c r="B1469" s="330" t="s">
        <v>18</v>
      </c>
      <c r="C1469" s="330"/>
      <c r="D1469" s="331" t="s">
        <v>19</v>
      </c>
      <c r="E1469" s="331"/>
      <c r="F1469" s="331"/>
      <c r="G1469" s="331"/>
      <c r="H1469" s="331"/>
      <c r="I1469" s="291" t="s">
        <v>20</v>
      </c>
    </row>
    <row r="1470" spans="2:9" ht="14.4" thickBot="1" x14ac:dyDescent="0.3">
      <c r="B1470" s="329" t="s">
        <v>1113</v>
      </c>
      <c r="C1470" s="329"/>
      <c r="D1470" s="332" t="s">
        <v>1066</v>
      </c>
      <c r="E1470" s="332"/>
      <c r="F1470" s="332"/>
      <c r="G1470" s="332"/>
      <c r="H1470" s="332"/>
      <c r="I1470" s="80" t="s">
        <v>472</v>
      </c>
    </row>
    <row r="1471" spans="2:9" ht="14.4" thickBot="1" x14ac:dyDescent="0.3">
      <c r="B1471" s="328" t="s">
        <v>21</v>
      </c>
      <c r="C1471" s="328"/>
      <c r="D1471" s="141"/>
      <c r="E1471" s="226" t="s">
        <v>22</v>
      </c>
      <c r="F1471" s="226" t="s">
        <v>23</v>
      </c>
      <c r="G1471" s="88" t="s">
        <v>24</v>
      </c>
      <c r="H1471" s="89" t="s">
        <v>25</v>
      </c>
      <c r="I1471" s="83" t="s">
        <v>26</v>
      </c>
    </row>
    <row r="1472" spans="2:9" ht="21" thickBot="1" x14ac:dyDescent="0.3">
      <c r="B1472" s="166">
        <v>12547</v>
      </c>
      <c r="C1472" s="151" t="s">
        <v>1</v>
      </c>
      <c r="D1472" s="84" t="s">
        <v>1067</v>
      </c>
      <c r="E1472" s="75" t="s">
        <v>22</v>
      </c>
      <c r="F1472" s="140">
        <v>1</v>
      </c>
      <c r="G1472" s="77">
        <v>1</v>
      </c>
      <c r="H1472" s="139">
        <v>188.29</v>
      </c>
      <c r="I1472" s="140">
        <f t="shared" ref="I1472" si="102">F1472*G1472*H1472</f>
        <v>188.29</v>
      </c>
    </row>
    <row r="1473" spans="2:9" ht="14.4" thickBot="1" x14ac:dyDescent="0.3">
      <c r="B1473" s="328" t="s">
        <v>27</v>
      </c>
      <c r="C1473" s="328"/>
      <c r="D1473" s="141"/>
      <c r="E1473" s="226" t="s">
        <v>22</v>
      </c>
      <c r="F1473" s="226" t="s">
        <v>23</v>
      </c>
      <c r="G1473" s="88" t="s">
        <v>24</v>
      </c>
      <c r="H1473" s="89" t="s">
        <v>25</v>
      </c>
      <c r="I1473" s="83" t="s">
        <v>26</v>
      </c>
    </row>
    <row r="1474" spans="2:9" x14ac:dyDescent="0.25">
      <c r="B1474" s="166">
        <v>93358</v>
      </c>
      <c r="C1474" s="151" t="s">
        <v>1</v>
      </c>
      <c r="D1474" s="84" t="s">
        <v>839</v>
      </c>
      <c r="E1474" s="75" t="s">
        <v>80</v>
      </c>
      <c r="F1474" s="140">
        <v>1</v>
      </c>
      <c r="G1474" s="77">
        <f>1.21*0.5</f>
        <v>0.60499999999999998</v>
      </c>
      <c r="H1474" s="139">
        <v>59.97</v>
      </c>
      <c r="I1474" s="140">
        <f t="shared" ref="I1474" si="103">F1474*G1474*H1474</f>
        <v>36.281849999999999</v>
      </c>
    </row>
    <row r="1475" spans="2:9" ht="20.399999999999999" x14ac:dyDescent="0.25">
      <c r="B1475" s="166">
        <v>97090</v>
      </c>
      <c r="C1475" s="151" t="s">
        <v>1</v>
      </c>
      <c r="D1475" s="84" t="s">
        <v>1064</v>
      </c>
      <c r="E1475" s="75" t="s">
        <v>82</v>
      </c>
      <c r="F1475" s="140">
        <v>1</v>
      </c>
      <c r="G1475" s="77">
        <f>0.7854*2.2</f>
        <v>1.7278800000000001</v>
      </c>
      <c r="H1475" s="139">
        <v>25.41</v>
      </c>
      <c r="I1475" s="140">
        <f>F1475*G1475*H1475</f>
        <v>43.905430800000005</v>
      </c>
    </row>
    <row r="1476" spans="2:9" ht="20.399999999999999" x14ac:dyDescent="0.25">
      <c r="B1476" s="166">
        <v>94964</v>
      </c>
      <c r="C1476" s="151" t="s">
        <v>1</v>
      </c>
      <c r="D1476" s="84" t="s">
        <v>981</v>
      </c>
      <c r="E1476" s="75" t="s">
        <v>80</v>
      </c>
      <c r="F1476" s="140">
        <v>1</v>
      </c>
      <c r="G1476" s="77">
        <f>0.7854*0.08</f>
        <v>6.2831999999999999E-2</v>
      </c>
      <c r="H1476" s="139">
        <v>407.4</v>
      </c>
      <c r="I1476" s="140">
        <f>F1476*G1476*H1476</f>
        <v>25.597756799999999</v>
      </c>
    </row>
    <row r="1477" spans="2:9" ht="20.399999999999999" x14ac:dyDescent="0.25">
      <c r="B1477" s="166">
        <v>90725</v>
      </c>
      <c r="C1477" s="151" t="s">
        <v>1</v>
      </c>
      <c r="D1477" s="84" t="s">
        <v>984</v>
      </c>
      <c r="E1477" s="75" t="s">
        <v>472</v>
      </c>
      <c r="F1477" s="140">
        <v>1</v>
      </c>
      <c r="G1477" s="77">
        <v>2</v>
      </c>
      <c r="H1477" s="139">
        <v>20.7</v>
      </c>
      <c r="I1477" s="140">
        <f>F1477*G1477*H1477</f>
        <v>41.4</v>
      </c>
    </row>
    <row r="1478" spans="2:9" ht="20.399999999999999" x14ac:dyDescent="0.25">
      <c r="B1478" s="166">
        <v>90726</v>
      </c>
      <c r="C1478" s="151" t="s">
        <v>1</v>
      </c>
      <c r="D1478" s="84" t="s">
        <v>1062</v>
      </c>
      <c r="E1478" s="75" t="s">
        <v>472</v>
      </c>
      <c r="F1478" s="140">
        <v>1</v>
      </c>
      <c r="G1478" s="77">
        <v>1</v>
      </c>
      <c r="H1478" s="139">
        <v>24.67</v>
      </c>
      <c r="I1478" s="140">
        <f t="shared" ref="I1478:I1479" si="104">F1478*G1478*H1478</f>
        <v>24.67</v>
      </c>
    </row>
    <row r="1479" spans="2:9" x14ac:dyDescent="0.25">
      <c r="B1479" s="166">
        <v>93382</v>
      </c>
      <c r="C1479" s="151" t="s">
        <v>1</v>
      </c>
      <c r="D1479" s="84" t="s">
        <v>982</v>
      </c>
      <c r="E1479" s="75" t="s">
        <v>80</v>
      </c>
      <c r="F1479" s="140">
        <v>1</v>
      </c>
      <c r="G1479" s="77">
        <f>(1.21-0.9503)*0.5</f>
        <v>0.12984999999999997</v>
      </c>
      <c r="H1479" s="139">
        <v>21.84</v>
      </c>
      <c r="I1479" s="140">
        <f t="shared" si="104"/>
        <v>2.8359239999999994</v>
      </c>
    </row>
    <row r="1480" spans="2:9" ht="30.6" x14ac:dyDescent="0.25">
      <c r="B1480" s="166">
        <v>87546</v>
      </c>
      <c r="C1480" s="151" t="s">
        <v>1</v>
      </c>
      <c r="D1480" s="84" t="s">
        <v>1042</v>
      </c>
      <c r="E1480" s="75" t="s">
        <v>37</v>
      </c>
      <c r="F1480" s="140">
        <v>1</v>
      </c>
      <c r="G1480" s="77">
        <f>3.1416*0.5</f>
        <v>1.5708</v>
      </c>
      <c r="H1480" s="139">
        <v>22.86</v>
      </c>
      <c r="I1480" s="140">
        <f>F1480*G1480*H1480</f>
        <v>35.908487999999998</v>
      </c>
    </row>
    <row r="1481" spans="2:9" ht="21" thickBot="1" x14ac:dyDescent="0.3">
      <c r="B1481" s="166">
        <v>97736</v>
      </c>
      <c r="C1481" s="151" t="s">
        <v>1</v>
      </c>
      <c r="D1481" s="84" t="s">
        <v>1040</v>
      </c>
      <c r="E1481" s="75" t="s">
        <v>80</v>
      </c>
      <c r="F1481" s="140">
        <v>1</v>
      </c>
      <c r="G1481" s="77">
        <f>0.9503*0.08</f>
        <v>7.6024000000000008E-2</v>
      </c>
      <c r="H1481" s="139">
        <v>1379.71</v>
      </c>
      <c r="I1481" s="140">
        <f t="shared" ref="I1481" si="105">F1481*G1481*H1481</f>
        <v>104.89107304000001</v>
      </c>
    </row>
    <row r="1482" spans="2:9" ht="14.4" thickBot="1" x14ac:dyDescent="0.3">
      <c r="B1482" s="328" t="s">
        <v>28</v>
      </c>
      <c r="C1482" s="328"/>
      <c r="D1482" s="141"/>
      <c r="E1482" s="226" t="s">
        <v>22</v>
      </c>
      <c r="F1482" s="226" t="s">
        <v>23</v>
      </c>
      <c r="G1482" s="88" t="s">
        <v>24</v>
      </c>
      <c r="H1482" s="89" t="s">
        <v>25</v>
      </c>
      <c r="I1482" s="83" t="s">
        <v>26</v>
      </c>
    </row>
    <row r="1483" spans="2:9" ht="14.4" thickBot="1" x14ac:dyDescent="0.3">
      <c r="B1483" s="166">
        <v>88316</v>
      </c>
      <c r="C1483" s="151" t="s">
        <v>1</v>
      </c>
      <c r="D1483" s="84" t="s">
        <v>43</v>
      </c>
      <c r="E1483" s="75" t="s">
        <v>2</v>
      </c>
      <c r="F1483" s="140">
        <v>1</v>
      </c>
      <c r="G1483" s="77">
        <v>2</v>
      </c>
      <c r="H1483" s="139">
        <v>15.16</v>
      </c>
      <c r="I1483" s="140">
        <f t="shared" ref="I1483" si="106">F1483*G1483*H1483</f>
        <v>30.32</v>
      </c>
    </row>
    <row r="1484" spans="2:9" ht="14.4" thickBot="1" x14ac:dyDescent="0.3">
      <c r="B1484" s="328" t="s">
        <v>29</v>
      </c>
      <c r="C1484" s="328"/>
      <c r="D1484" s="328"/>
      <c r="E1484" s="328"/>
      <c r="F1484" s="328"/>
      <c r="G1484" s="328"/>
      <c r="H1484" s="328"/>
      <c r="I1484" s="296">
        <f>SUM(I1472:I1483)</f>
        <v>534.10052264000001</v>
      </c>
    </row>
    <row r="1485" spans="2:9" x14ac:dyDescent="0.25">
      <c r="B1485" s="166"/>
      <c r="C1485" s="223" t="s">
        <v>30</v>
      </c>
      <c r="D1485" s="90" t="s">
        <v>1059</v>
      </c>
      <c r="E1485" s="75"/>
      <c r="F1485" s="75"/>
      <c r="G1485" s="85"/>
      <c r="H1485" s="139"/>
      <c r="I1485" s="293"/>
    </row>
    <row r="1486" spans="2:9" x14ac:dyDescent="0.25">
      <c r="B1486" s="166"/>
      <c r="C1486" s="223"/>
      <c r="E1486" s="75"/>
      <c r="F1486" s="75"/>
      <c r="G1486" s="85"/>
      <c r="H1486" s="139"/>
      <c r="I1486" s="295"/>
    </row>
    <row r="1487" spans="2:9" ht="14.4" thickBot="1" x14ac:dyDescent="0.3">
      <c r="B1487" s="166"/>
      <c r="C1487" s="223"/>
      <c r="E1487" s="75"/>
      <c r="F1487" s="75"/>
      <c r="G1487" s="85"/>
      <c r="H1487" s="139"/>
      <c r="I1487" s="292"/>
    </row>
    <row r="1488" spans="2:9" ht="14.4" thickBot="1" x14ac:dyDescent="0.3">
      <c r="B1488" s="330" t="s">
        <v>18</v>
      </c>
      <c r="C1488" s="330"/>
      <c r="D1488" s="331" t="s">
        <v>19</v>
      </c>
      <c r="E1488" s="331"/>
      <c r="F1488" s="331"/>
      <c r="G1488" s="331"/>
      <c r="H1488" s="331"/>
      <c r="I1488" s="291" t="s">
        <v>20</v>
      </c>
    </row>
    <row r="1489" spans="2:9" ht="14.4" thickBot="1" x14ac:dyDescent="0.3">
      <c r="B1489" s="329" t="s">
        <v>1114</v>
      </c>
      <c r="C1489" s="329"/>
      <c r="D1489" s="332" t="s">
        <v>1068</v>
      </c>
      <c r="E1489" s="332"/>
      <c r="F1489" s="332"/>
      <c r="G1489" s="332"/>
      <c r="H1489" s="332"/>
      <c r="I1489" s="80" t="s">
        <v>8</v>
      </c>
    </row>
    <row r="1490" spans="2:9" ht="14.4" thickBot="1" x14ac:dyDescent="0.3">
      <c r="B1490" s="328" t="s">
        <v>21</v>
      </c>
      <c r="C1490" s="328"/>
      <c r="D1490" s="141"/>
      <c r="E1490" s="226" t="s">
        <v>22</v>
      </c>
      <c r="F1490" s="226" t="s">
        <v>23</v>
      </c>
      <c r="G1490" s="88" t="s">
        <v>24</v>
      </c>
      <c r="H1490" s="89" t="s">
        <v>25</v>
      </c>
      <c r="I1490" s="83" t="s">
        <v>26</v>
      </c>
    </row>
    <row r="1491" spans="2:9" x14ac:dyDescent="0.25">
      <c r="B1491" s="166">
        <v>10542</v>
      </c>
      <c r="C1491" s="151" t="s">
        <v>1</v>
      </c>
      <c r="D1491" s="84" t="s">
        <v>1069</v>
      </c>
      <c r="E1491" s="75" t="s">
        <v>8</v>
      </c>
      <c r="F1491" s="140">
        <v>1</v>
      </c>
      <c r="G1491" s="77">
        <v>1.03</v>
      </c>
      <c r="H1491" s="139">
        <v>27.2</v>
      </c>
      <c r="I1491" s="140">
        <f t="shared" ref="I1491:I1496" si="107">F1491*G1491*H1491</f>
        <v>28.015999999999998</v>
      </c>
    </row>
    <row r="1492" spans="2:9" ht="14.4" thickBot="1" x14ac:dyDescent="0.3">
      <c r="B1492" s="166">
        <v>4722</v>
      </c>
      <c r="C1492" s="151" t="s">
        <v>1</v>
      </c>
      <c r="D1492" s="84" t="s">
        <v>1070</v>
      </c>
      <c r="E1492" s="75" t="s">
        <v>80</v>
      </c>
      <c r="F1492" s="140">
        <f>0.0628*1</f>
        <v>6.2799999999999995E-2</v>
      </c>
      <c r="G1492" s="77">
        <v>1.2</v>
      </c>
      <c r="H1492" s="139">
        <v>79.73</v>
      </c>
      <c r="I1492" s="140">
        <f t="shared" si="107"/>
        <v>6.0084527999999997</v>
      </c>
    </row>
    <row r="1493" spans="2:9" ht="14.4" thickBot="1" x14ac:dyDescent="0.3">
      <c r="B1493" s="328" t="s">
        <v>27</v>
      </c>
      <c r="C1493" s="328"/>
      <c r="D1493" s="141"/>
      <c r="E1493" s="226" t="s">
        <v>22</v>
      </c>
      <c r="F1493" s="226" t="s">
        <v>23</v>
      </c>
      <c r="G1493" s="88" t="s">
        <v>24</v>
      </c>
      <c r="H1493" s="89" t="s">
        <v>25</v>
      </c>
      <c r="I1493" s="83" t="s">
        <v>26</v>
      </c>
    </row>
    <row r="1494" spans="2:9" ht="30.6" x14ac:dyDescent="0.25">
      <c r="B1494" s="166">
        <v>90106</v>
      </c>
      <c r="C1494" s="151" t="s">
        <v>1</v>
      </c>
      <c r="D1494" s="84" t="s">
        <v>1071</v>
      </c>
      <c r="E1494" s="75" t="s">
        <v>80</v>
      </c>
      <c r="F1494" s="140">
        <v>1</v>
      </c>
      <c r="G1494" s="77">
        <f>1*0.8*0.5</f>
        <v>0.4</v>
      </c>
      <c r="H1494" s="139">
        <v>5.43</v>
      </c>
      <c r="I1494" s="140">
        <f>F1494*G1494*H1494</f>
        <v>2.1720000000000002</v>
      </c>
    </row>
    <row r="1495" spans="2:9" x14ac:dyDescent="0.25">
      <c r="B1495" s="166">
        <v>101616</v>
      </c>
      <c r="C1495" s="151" t="s">
        <v>1</v>
      </c>
      <c r="D1495" s="84" t="s">
        <v>1072</v>
      </c>
      <c r="E1495" s="75" t="s">
        <v>37</v>
      </c>
      <c r="F1495" s="140">
        <v>1</v>
      </c>
      <c r="G1495" s="77">
        <f>0.6*1</f>
        <v>0.6</v>
      </c>
      <c r="H1495" s="139">
        <v>4.37</v>
      </c>
      <c r="I1495" s="140">
        <f>F1495*G1495*H1495</f>
        <v>2.6219999999999999</v>
      </c>
    </row>
    <row r="1496" spans="2:9" x14ac:dyDescent="0.25">
      <c r="B1496" s="166">
        <v>88629</v>
      </c>
      <c r="C1496" s="151" t="s">
        <v>1</v>
      </c>
      <c r="D1496" s="84" t="s">
        <v>1073</v>
      </c>
      <c r="E1496" s="75" t="s">
        <v>80</v>
      </c>
      <c r="F1496" s="140">
        <v>1</v>
      </c>
      <c r="G1496" s="77">
        <v>2.7000000000000001E-3</v>
      </c>
      <c r="H1496" s="139">
        <v>566.99</v>
      </c>
      <c r="I1496" s="140">
        <f t="shared" si="107"/>
        <v>1.5308730000000002</v>
      </c>
    </row>
    <row r="1497" spans="2:9" ht="30.6" x14ac:dyDescent="0.25">
      <c r="B1497" s="166">
        <v>87546</v>
      </c>
      <c r="C1497" s="151" t="s">
        <v>1</v>
      </c>
      <c r="D1497" s="84" t="s">
        <v>1042</v>
      </c>
      <c r="E1497" s="75" t="s">
        <v>37</v>
      </c>
      <c r="F1497" s="140">
        <v>1</v>
      </c>
      <c r="G1497" s="77">
        <v>0.62829999999999997</v>
      </c>
      <c r="H1497" s="139">
        <v>22.86</v>
      </c>
      <c r="I1497" s="140">
        <f>F1497*G1497*H1497</f>
        <v>14.362938</v>
      </c>
    </row>
    <row r="1498" spans="2:9" x14ac:dyDescent="0.25">
      <c r="B1498" s="166">
        <v>93382</v>
      </c>
      <c r="C1498" s="151" t="s">
        <v>1</v>
      </c>
      <c r="D1498" s="84" t="s">
        <v>982</v>
      </c>
      <c r="E1498" s="75" t="s">
        <v>80</v>
      </c>
      <c r="F1498" s="140">
        <v>1</v>
      </c>
      <c r="G1498" s="77">
        <f>((0.8*0.5)-0.0628)*1</f>
        <v>0.33720000000000006</v>
      </c>
      <c r="H1498" s="139">
        <v>21.84</v>
      </c>
      <c r="I1498" s="140">
        <f>F1498*G1498*H1498</f>
        <v>7.3644480000000012</v>
      </c>
    </row>
    <row r="1499" spans="2:9" ht="21" thickBot="1" x14ac:dyDescent="0.3">
      <c r="B1499" s="166">
        <v>93589</v>
      </c>
      <c r="C1499" s="151" t="s">
        <v>1</v>
      </c>
      <c r="D1499" s="84" t="s">
        <v>1074</v>
      </c>
      <c r="E1499" s="75" t="s">
        <v>1075</v>
      </c>
      <c r="F1499" s="140">
        <v>1</v>
      </c>
      <c r="G1499" s="77">
        <f>(G1494-G1498)*12</f>
        <v>0.7535999999999996</v>
      </c>
      <c r="H1499" s="139">
        <v>1.82</v>
      </c>
      <c r="I1499" s="140">
        <f>F1499*G1499*H1499</f>
        <v>1.3715519999999992</v>
      </c>
    </row>
    <row r="1500" spans="2:9" ht="14.4" thickBot="1" x14ac:dyDescent="0.3">
      <c r="B1500" s="328" t="s">
        <v>28</v>
      </c>
      <c r="C1500" s="328"/>
      <c r="D1500" s="141"/>
      <c r="E1500" s="226" t="s">
        <v>22</v>
      </c>
      <c r="F1500" s="226" t="s">
        <v>23</v>
      </c>
      <c r="G1500" s="88" t="s">
        <v>24</v>
      </c>
      <c r="H1500" s="89" t="s">
        <v>25</v>
      </c>
      <c r="I1500" s="83" t="s">
        <v>26</v>
      </c>
    </row>
    <row r="1501" spans="2:9" x14ac:dyDescent="0.25">
      <c r="B1501" s="166">
        <v>88309</v>
      </c>
      <c r="C1501" s="151" t="s">
        <v>1</v>
      </c>
      <c r="D1501" s="84" t="s">
        <v>87</v>
      </c>
      <c r="E1501" s="75" t="s">
        <v>2</v>
      </c>
      <c r="F1501" s="140">
        <v>1</v>
      </c>
      <c r="G1501" s="77">
        <f>0.3545+(0.0628*2)</f>
        <v>0.48009999999999997</v>
      </c>
      <c r="H1501" s="139">
        <v>18.86</v>
      </c>
      <c r="I1501" s="140">
        <f t="shared" ref="I1501:I1502" si="108">F1501*G1501*H1501</f>
        <v>9.0546859999999985</v>
      </c>
    </row>
    <row r="1502" spans="2:9" ht="14.4" thickBot="1" x14ac:dyDescent="0.3">
      <c r="B1502" s="166">
        <v>88316</v>
      </c>
      <c r="C1502" s="151" t="s">
        <v>1</v>
      </c>
      <c r="D1502" s="84" t="s">
        <v>43</v>
      </c>
      <c r="E1502" s="75" t="s">
        <v>2</v>
      </c>
      <c r="F1502" s="140">
        <v>1</v>
      </c>
      <c r="G1502" s="77">
        <f>G1501</f>
        <v>0.48009999999999997</v>
      </c>
      <c r="H1502" s="139">
        <v>15.16</v>
      </c>
      <c r="I1502" s="140">
        <f t="shared" si="108"/>
        <v>7.2783159999999993</v>
      </c>
    </row>
    <row r="1503" spans="2:9" ht="14.4" thickBot="1" x14ac:dyDescent="0.3">
      <c r="B1503" s="328" t="s">
        <v>29</v>
      </c>
      <c r="C1503" s="328"/>
      <c r="D1503" s="328"/>
      <c r="E1503" s="328"/>
      <c r="F1503" s="328"/>
      <c r="G1503" s="328"/>
      <c r="H1503" s="328"/>
      <c r="I1503" s="296">
        <f>SUM(I1491:I1502)</f>
        <v>79.7812658</v>
      </c>
    </row>
    <row r="1504" spans="2:9" x14ac:dyDescent="0.25">
      <c r="B1504" s="166"/>
      <c r="C1504" s="223" t="s">
        <v>30</v>
      </c>
      <c r="D1504" s="90" t="s">
        <v>1076</v>
      </c>
      <c r="E1504" s="75"/>
      <c r="F1504" s="75"/>
      <c r="G1504" s="85"/>
      <c r="H1504" s="139"/>
      <c r="I1504" s="293"/>
    </row>
    <row r="1505" spans="2:12" x14ac:dyDescent="0.25">
      <c r="B1505" s="166"/>
      <c r="C1505" s="223"/>
      <c r="E1505" s="75"/>
      <c r="F1505" s="75"/>
      <c r="G1505" s="85"/>
      <c r="H1505" s="139"/>
      <c r="I1505" s="295"/>
    </row>
    <row r="1506" spans="2:12" ht="14.4" thickBot="1" x14ac:dyDescent="0.3">
      <c r="B1506" s="166"/>
      <c r="C1506" s="223"/>
      <c r="E1506" s="75"/>
      <c r="F1506" s="75"/>
      <c r="G1506" s="85"/>
      <c r="H1506" s="139"/>
      <c r="I1506" s="292"/>
    </row>
    <row r="1507" spans="2:12" ht="14.4" thickBot="1" x14ac:dyDescent="0.3">
      <c r="B1507" s="330" t="s">
        <v>18</v>
      </c>
      <c r="C1507" s="330"/>
      <c r="D1507" s="331" t="s">
        <v>19</v>
      </c>
      <c r="E1507" s="331"/>
      <c r="F1507" s="331"/>
      <c r="G1507" s="331"/>
      <c r="H1507" s="331"/>
      <c r="I1507" s="291" t="s">
        <v>20</v>
      </c>
    </row>
    <row r="1508" spans="2:12" ht="14.4" thickBot="1" x14ac:dyDescent="0.3">
      <c r="B1508" s="329" t="s">
        <v>1115</v>
      </c>
      <c r="C1508" s="329"/>
      <c r="D1508" s="332" t="s">
        <v>1077</v>
      </c>
      <c r="E1508" s="332"/>
      <c r="F1508" s="332"/>
      <c r="G1508" s="332"/>
      <c r="H1508" s="332"/>
      <c r="I1508" s="80" t="s">
        <v>8</v>
      </c>
      <c r="L1508" s="163"/>
    </row>
    <row r="1509" spans="2:12" ht="14.4" thickBot="1" x14ac:dyDescent="0.3">
      <c r="B1509" s="328" t="s">
        <v>21</v>
      </c>
      <c r="C1509" s="328"/>
      <c r="D1509" s="141"/>
      <c r="E1509" s="226" t="s">
        <v>22</v>
      </c>
      <c r="F1509" s="226" t="s">
        <v>23</v>
      </c>
      <c r="G1509" s="88" t="s">
        <v>24</v>
      </c>
      <c r="H1509" s="89" t="s">
        <v>25</v>
      </c>
      <c r="I1509" s="83" t="s">
        <v>26</v>
      </c>
    </row>
    <row r="1510" spans="2:12" ht="14.4" thickBot="1" x14ac:dyDescent="0.3">
      <c r="B1510" s="166">
        <v>10360</v>
      </c>
      <c r="C1510" s="151" t="s">
        <v>9</v>
      </c>
      <c r="D1510" s="84" t="s">
        <v>1078</v>
      </c>
      <c r="E1510" s="75" t="s">
        <v>22</v>
      </c>
      <c r="F1510" s="140">
        <v>1</v>
      </c>
      <c r="G1510" s="77">
        <f>0.8/0.2</f>
        <v>4</v>
      </c>
      <c r="H1510" s="139">
        <v>51.63</v>
      </c>
      <c r="I1510" s="140">
        <f>F1510*G1510*H1510</f>
        <v>206.52</v>
      </c>
    </row>
    <row r="1511" spans="2:12" ht="14.4" thickBot="1" x14ac:dyDescent="0.3">
      <c r="B1511" s="328" t="s">
        <v>27</v>
      </c>
      <c r="C1511" s="328"/>
      <c r="D1511" s="141"/>
      <c r="E1511" s="226" t="s">
        <v>22</v>
      </c>
      <c r="F1511" s="226" t="s">
        <v>23</v>
      </c>
      <c r="G1511" s="88" t="s">
        <v>24</v>
      </c>
      <c r="H1511" s="89" t="s">
        <v>25</v>
      </c>
      <c r="I1511" s="83" t="s">
        <v>26</v>
      </c>
    </row>
    <row r="1512" spans="2:12" ht="30.6" x14ac:dyDescent="0.25">
      <c r="B1512" s="166">
        <v>90106</v>
      </c>
      <c r="C1512" s="151" t="s">
        <v>1</v>
      </c>
      <c r="D1512" s="84" t="s">
        <v>1071</v>
      </c>
      <c r="E1512" s="75" t="s">
        <v>80</v>
      </c>
      <c r="F1512" s="140">
        <v>1</v>
      </c>
      <c r="G1512" s="77">
        <f>0.44*1</f>
        <v>0.44</v>
      </c>
      <c r="H1512" s="139">
        <v>5.43</v>
      </c>
      <c r="I1512" s="140">
        <f>F1512*G1512*H1512</f>
        <v>2.3891999999999998</v>
      </c>
    </row>
    <row r="1513" spans="2:12" x14ac:dyDescent="0.25">
      <c r="B1513" s="166">
        <v>101616</v>
      </c>
      <c r="C1513" s="151" t="s">
        <v>1</v>
      </c>
      <c r="D1513" s="84" t="s">
        <v>1072</v>
      </c>
      <c r="E1513" s="75" t="s">
        <v>37</v>
      </c>
      <c r="F1513" s="140">
        <v>1</v>
      </c>
      <c r="G1513" s="77">
        <f>1*1</f>
        <v>1</v>
      </c>
      <c r="H1513" s="139">
        <v>4.37</v>
      </c>
      <c r="I1513" s="140">
        <f t="shared" ref="I1513:I1519" si="109">F1513*G1513*H1513</f>
        <v>4.37</v>
      </c>
    </row>
    <row r="1514" spans="2:12" ht="20.399999999999999" x14ac:dyDescent="0.25">
      <c r="B1514" s="166">
        <v>103317</v>
      </c>
      <c r="C1514" s="151" t="s">
        <v>1</v>
      </c>
      <c r="D1514" s="84" t="s">
        <v>1079</v>
      </c>
      <c r="E1514" s="75" t="s">
        <v>37</v>
      </c>
      <c r="F1514" s="140">
        <v>1</v>
      </c>
      <c r="G1514" s="77">
        <f>(0.39*2)*1</f>
        <v>0.78</v>
      </c>
      <c r="H1514" s="139">
        <v>62.82</v>
      </c>
      <c r="I1514" s="140">
        <f t="shared" si="109"/>
        <v>48.999600000000001</v>
      </c>
    </row>
    <row r="1515" spans="2:12" ht="30.6" x14ac:dyDescent="0.25">
      <c r="B1515" s="166">
        <v>87546</v>
      </c>
      <c r="C1515" s="151" t="s">
        <v>1</v>
      </c>
      <c r="D1515" s="84" t="s">
        <v>1080</v>
      </c>
      <c r="E1515" s="75" t="s">
        <v>37</v>
      </c>
      <c r="F1515" s="140">
        <v>1</v>
      </c>
      <c r="G1515" s="77">
        <f>1.07855*1</f>
        <v>1.0785499999999999</v>
      </c>
      <c r="H1515" s="139">
        <v>22.86</v>
      </c>
      <c r="I1515" s="140">
        <f t="shared" si="109"/>
        <v>24.655652999999997</v>
      </c>
    </row>
    <row r="1516" spans="2:12" ht="20.399999999999999" x14ac:dyDescent="0.25">
      <c r="B1516" s="166">
        <v>97090</v>
      </c>
      <c r="C1516" s="151" t="s">
        <v>1</v>
      </c>
      <c r="D1516" s="84" t="s">
        <v>1064</v>
      </c>
      <c r="E1516" s="75" t="s">
        <v>82</v>
      </c>
      <c r="F1516" s="140">
        <v>1</v>
      </c>
      <c r="G1516" s="77">
        <f>0.8*1*2.2</f>
        <v>1.7600000000000002</v>
      </c>
      <c r="H1516" s="139">
        <v>25.41</v>
      </c>
      <c r="I1516" s="140">
        <f t="shared" si="109"/>
        <v>44.721600000000009</v>
      </c>
      <c r="L1516" s="163"/>
    </row>
    <row r="1517" spans="2:12" ht="20.399999999999999" x14ac:dyDescent="0.25">
      <c r="B1517" s="166">
        <v>94964</v>
      </c>
      <c r="C1517" s="151" t="s">
        <v>1</v>
      </c>
      <c r="D1517" s="84" t="s">
        <v>981</v>
      </c>
      <c r="E1517" s="75" t="s">
        <v>80</v>
      </c>
      <c r="F1517" s="140">
        <v>1</v>
      </c>
      <c r="G1517" s="77">
        <f>0.8*1*0.1</f>
        <v>8.0000000000000016E-2</v>
      </c>
      <c r="H1517" s="139">
        <v>407.4</v>
      </c>
      <c r="I1517" s="140">
        <f t="shared" si="109"/>
        <v>32.592000000000006</v>
      </c>
    </row>
    <row r="1518" spans="2:12" x14ac:dyDescent="0.25">
      <c r="B1518" s="166">
        <v>93382</v>
      </c>
      <c r="C1518" s="151" t="s">
        <v>1</v>
      </c>
      <c r="D1518" s="84" t="s">
        <v>982</v>
      </c>
      <c r="E1518" s="75" t="s">
        <v>80</v>
      </c>
      <c r="F1518" s="140">
        <v>1</v>
      </c>
      <c r="G1518" s="77">
        <f>(G1512-0.1386)*1</f>
        <v>0.3014</v>
      </c>
      <c r="H1518" s="139">
        <v>21.84</v>
      </c>
      <c r="I1518" s="140">
        <f t="shared" si="109"/>
        <v>6.5825760000000004</v>
      </c>
    </row>
    <row r="1519" spans="2:12" ht="21" thickBot="1" x14ac:dyDescent="0.3">
      <c r="B1519" s="166">
        <v>93589</v>
      </c>
      <c r="C1519" s="151" t="s">
        <v>1</v>
      </c>
      <c r="D1519" s="84" t="s">
        <v>1074</v>
      </c>
      <c r="E1519" s="75" t="s">
        <v>1075</v>
      </c>
      <c r="F1519" s="140">
        <v>1</v>
      </c>
      <c r="G1519" s="77">
        <f>(0.288-0.1386)*1*12</f>
        <v>1.7927999999999997</v>
      </c>
      <c r="H1519" s="139">
        <v>1.82</v>
      </c>
      <c r="I1519" s="140">
        <f t="shared" si="109"/>
        <v>3.2628959999999996</v>
      </c>
    </row>
    <row r="1520" spans="2:12" ht="14.4" thickBot="1" x14ac:dyDescent="0.3">
      <c r="B1520" s="328" t="s">
        <v>29</v>
      </c>
      <c r="C1520" s="328"/>
      <c r="D1520" s="328"/>
      <c r="E1520" s="328"/>
      <c r="F1520" s="328"/>
      <c r="G1520" s="328"/>
      <c r="H1520" s="328"/>
      <c r="I1520" s="296">
        <f>SUM(I1510:I1519)</f>
        <v>374.093525</v>
      </c>
    </row>
    <row r="1521" spans="2:9" x14ac:dyDescent="0.25">
      <c r="B1521" s="166"/>
      <c r="C1521" s="223" t="s">
        <v>30</v>
      </c>
      <c r="D1521" s="90" t="s">
        <v>1033</v>
      </c>
      <c r="E1521" s="75"/>
      <c r="F1521" s="75"/>
      <c r="G1521" s="85"/>
      <c r="H1521" s="139"/>
      <c r="I1521" s="293"/>
    </row>
    <row r="1522" spans="2:9" x14ac:dyDescent="0.25">
      <c r="B1522" s="166"/>
      <c r="C1522" s="223"/>
      <c r="E1522" s="75"/>
      <c r="F1522" s="75"/>
      <c r="G1522" s="85"/>
      <c r="H1522" s="139"/>
      <c r="I1522" s="295"/>
    </row>
    <row r="1523" spans="2:9" ht="14.4" thickBot="1" x14ac:dyDescent="0.3">
      <c r="B1523" s="166"/>
      <c r="C1523" s="223"/>
      <c r="E1523" s="75"/>
      <c r="F1523" s="75"/>
      <c r="G1523" s="85"/>
      <c r="H1523" s="139"/>
      <c r="I1523" s="292"/>
    </row>
    <row r="1524" spans="2:9" ht="14.4" thickBot="1" x14ac:dyDescent="0.3">
      <c r="B1524" s="330" t="s">
        <v>18</v>
      </c>
      <c r="C1524" s="330"/>
      <c r="D1524" s="331" t="s">
        <v>19</v>
      </c>
      <c r="E1524" s="331"/>
      <c r="F1524" s="331"/>
      <c r="G1524" s="331"/>
      <c r="H1524" s="331"/>
      <c r="I1524" s="291" t="s">
        <v>20</v>
      </c>
    </row>
    <row r="1525" spans="2:9" ht="14.4" thickBot="1" x14ac:dyDescent="0.3">
      <c r="B1525" s="329" t="s">
        <v>1116</v>
      </c>
      <c r="C1525" s="329"/>
      <c r="D1525" s="332" t="s">
        <v>1081</v>
      </c>
      <c r="E1525" s="332"/>
      <c r="F1525" s="332"/>
      <c r="G1525" s="332"/>
      <c r="H1525" s="332"/>
      <c r="I1525" s="80" t="s">
        <v>8</v>
      </c>
    </row>
    <row r="1526" spans="2:9" ht="14.4" thickBot="1" x14ac:dyDescent="0.3">
      <c r="B1526" s="328" t="s">
        <v>21</v>
      </c>
      <c r="C1526" s="328"/>
      <c r="D1526" s="141"/>
      <c r="E1526" s="226" t="s">
        <v>22</v>
      </c>
      <c r="F1526" s="226" t="s">
        <v>23</v>
      </c>
      <c r="G1526" s="88" t="s">
        <v>24</v>
      </c>
      <c r="H1526" s="89" t="s">
        <v>25</v>
      </c>
      <c r="I1526" s="83" t="s">
        <v>26</v>
      </c>
    </row>
    <row r="1527" spans="2:9" ht="14.4" thickBot="1" x14ac:dyDescent="0.3">
      <c r="B1527" s="166">
        <v>10360</v>
      </c>
      <c r="C1527" s="151" t="s">
        <v>9</v>
      </c>
      <c r="D1527" s="84" t="s">
        <v>1078</v>
      </c>
      <c r="E1527" s="75" t="s">
        <v>22</v>
      </c>
      <c r="F1527" s="140">
        <v>1</v>
      </c>
      <c r="G1527" s="77">
        <f>1/0.2</f>
        <v>5</v>
      </c>
      <c r="H1527" s="139">
        <v>51.63</v>
      </c>
      <c r="I1527" s="140">
        <f>F1527*G1527*H1527</f>
        <v>258.15000000000003</v>
      </c>
    </row>
    <row r="1528" spans="2:9" ht="14.4" thickBot="1" x14ac:dyDescent="0.3">
      <c r="B1528" s="328" t="s">
        <v>27</v>
      </c>
      <c r="C1528" s="328"/>
      <c r="D1528" s="141"/>
      <c r="E1528" s="226" t="s">
        <v>22</v>
      </c>
      <c r="F1528" s="226" t="s">
        <v>23</v>
      </c>
      <c r="G1528" s="88" t="s">
        <v>24</v>
      </c>
      <c r="H1528" s="89" t="s">
        <v>25</v>
      </c>
      <c r="I1528" s="83" t="s">
        <v>26</v>
      </c>
    </row>
    <row r="1529" spans="2:9" ht="30.6" x14ac:dyDescent="0.25">
      <c r="B1529" s="166">
        <v>90106</v>
      </c>
      <c r="C1529" s="151" t="s">
        <v>1</v>
      </c>
      <c r="D1529" s="84" t="s">
        <v>1071</v>
      </c>
      <c r="E1529" s="75" t="s">
        <v>80</v>
      </c>
      <c r="F1529" s="140">
        <v>1</v>
      </c>
      <c r="G1529" s="77">
        <f>0.528*1</f>
        <v>0.52800000000000002</v>
      </c>
      <c r="H1529" s="139">
        <v>5.43</v>
      </c>
      <c r="I1529" s="140">
        <f>F1529*G1529*H1529</f>
        <v>2.8670399999999998</v>
      </c>
    </row>
    <row r="1530" spans="2:9" x14ac:dyDescent="0.25">
      <c r="B1530" s="166">
        <v>101616</v>
      </c>
      <c r="C1530" s="151" t="s">
        <v>1</v>
      </c>
      <c r="D1530" s="84" t="s">
        <v>1072</v>
      </c>
      <c r="E1530" s="75" t="s">
        <v>37</v>
      </c>
      <c r="F1530" s="140">
        <v>1</v>
      </c>
      <c r="G1530" s="77">
        <f>1.2*1</f>
        <v>1.2</v>
      </c>
      <c r="H1530" s="139">
        <v>4.37</v>
      </c>
      <c r="I1530" s="140">
        <f t="shared" ref="I1530:I1536" si="110">F1530*G1530*H1530</f>
        <v>5.2439999999999998</v>
      </c>
    </row>
    <row r="1531" spans="2:9" ht="20.399999999999999" x14ac:dyDescent="0.25">
      <c r="B1531" s="166">
        <v>103317</v>
      </c>
      <c r="C1531" s="151" t="s">
        <v>1</v>
      </c>
      <c r="D1531" s="84" t="s">
        <v>1079</v>
      </c>
      <c r="E1531" s="75" t="s">
        <v>37</v>
      </c>
      <c r="F1531" s="140">
        <v>1</v>
      </c>
      <c r="G1531" s="77">
        <f>(0.4*2)*1</f>
        <v>0.8</v>
      </c>
      <c r="H1531" s="139">
        <v>62.82</v>
      </c>
      <c r="I1531" s="140">
        <f t="shared" si="110"/>
        <v>50.256</v>
      </c>
    </row>
    <row r="1532" spans="2:9" ht="30.6" x14ac:dyDescent="0.25">
      <c r="B1532" s="166">
        <v>87546</v>
      </c>
      <c r="C1532" s="151" t="s">
        <v>1</v>
      </c>
      <c r="D1532" s="84" t="s">
        <v>1080</v>
      </c>
      <c r="E1532" s="75" t="s">
        <v>37</v>
      </c>
      <c r="F1532" s="140">
        <v>1</v>
      </c>
      <c r="G1532" s="77">
        <f>1.2785*1</f>
        <v>1.2785</v>
      </c>
      <c r="H1532" s="139">
        <v>22.86</v>
      </c>
      <c r="I1532" s="140">
        <f t="shared" si="110"/>
        <v>29.226509999999998</v>
      </c>
    </row>
    <row r="1533" spans="2:9" ht="20.399999999999999" x14ac:dyDescent="0.25">
      <c r="B1533" s="166">
        <v>97090</v>
      </c>
      <c r="C1533" s="151" t="s">
        <v>1</v>
      </c>
      <c r="D1533" s="84" t="s">
        <v>1064</v>
      </c>
      <c r="E1533" s="75" t="s">
        <v>82</v>
      </c>
      <c r="F1533" s="140">
        <v>1</v>
      </c>
      <c r="G1533" s="77">
        <f>1*1*2.2</f>
        <v>2.2000000000000002</v>
      </c>
      <c r="H1533" s="139">
        <v>25.41</v>
      </c>
      <c r="I1533" s="140">
        <f t="shared" si="110"/>
        <v>55.902000000000008</v>
      </c>
    </row>
    <row r="1534" spans="2:9" ht="20.399999999999999" x14ac:dyDescent="0.25">
      <c r="B1534" s="166">
        <v>94964</v>
      </c>
      <c r="C1534" s="151" t="s">
        <v>1</v>
      </c>
      <c r="D1534" s="84" t="s">
        <v>981</v>
      </c>
      <c r="E1534" s="75" t="s">
        <v>80</v>
      </c>
      <c r="F1534" s="140">
        <v>1</v>
      </c>
      <c r="G1534" s="77">
        <f>1*1*0.1</f>
        <v>0.1</v>
      </c>
      <c r="H1534" s="139">
        <v>407.4</v>
      </c>
      <c r="I1534" s="140">
        <f t="shared" si="110"/>
        <v>40.74</v>
      </c>
    </row>
    <row r="1535" spans="2:9" x14ac:dyDescent="0.25">
      <c r="B1535" s="166">
        <v>93382</v>
      </c>
      <c r="C1535" s="151" t="s">
        <v>1</v>
      </c>
      <c r="D1535" s="84" t="s">
        <v>982</v>
      </c>
      <c r="E1535" s="75" t="s">
        <v>80</v>
      </c>
      <c r="F1535" s="140">
        <v>1</v>
      </c>
      <c r="G1535" s="77">
        <f>(G1529-0.44)*1</f>
        <v>8.8000000000000023E-2</v>
      </c>
      <c r="H1535" s="139">
        <v>21.84</v>
      </c>
      <c r="I1535" s="140">
        <f t="shared" si="110"/>
        <v>1.9219200000000005</v>
      </c>
    </row>
    <row r="1536" spans="2:9" ht="21" thickBot="1" x14ac:dyDescent="0.3">
      <c r="B1536" s="166">
        <v>93589</v>
      </c>
      <c r="C1536" s="151" t="s">
        <v>1</v>
      </c>
      <c r="D1536" s="84" t="s">
        <v>1074</v>
      </c>
      <c r="E1536" s="75" t="s">
        <v>1075</v>
      </c>
      <c r="F1536" s="140">
        <v>1</v>
      </c>
      <c r="G1536" s="77">
        <f>(0.36-0.163)*1*12</f>
        <v>2.3639999999999999</v>
      </c>
      <c r="H1536" s="139">
        <v>1.82</v>
      </c>
      <c r="I1536" s="140">
        <f t="shared" si="110"/>
        <v>4.3024800000000001</v>
      </c>
    </row>
    <row r="1537" spans="2:10" ht="14.4" thickBot="1" x14ac:dyDescent="0.3">
      <c r="B1537" s="328" t="s">
        <v>29</v>
      </c>
      <c r="C1537" s="328"/>
      <c r="D1537" s="328"/>
      <c r="E1537" s="328"/>
      <c r="F1537" s="328"/>
      <c r="G1537" s="328"/>
      <c r="H1537" s="328"/>
      <c r="I1537" s="296">
        <f>SUM(I1527:I1536)</f>
        <v>448.60994999999997</v>
      </c>
    </row>
    <row r="1538" spans="2:10" x14ac:dyDescent="0.25">
      <c r="B1538" s="166"/>
      <c r="C1538" s="223" t="s">
        <v>30</v>
      </c>
      <c r="D1538" s="90" t="s">
        <v>1033</v>
      </c>
      <c r="E1538" s="75"/>
      <c r="F1538" s="75"/>
      <c r="G1538" s="85"/>
      <c r="H1538" s="139"/>
      <c r="I1538" s="293"/>
    </row>
    <row r="1539" spans="2:10" x14ac:dyDescent="0.25">
      <c r="B1539" s="166"/>
      <c r="C1539" s="223"/>
      <c r="E1539" s="75"/>
      <c r="F1539" s="75"/>
      <c r="G1539" s="85"/>
      <c r="H1539" s="139"/>
      <c r="I1539" s="295"/>
    </row>
    <row r="1540" spans="2:10" ht="14.4" thickBot="1" x14ac:dyDescent="0.3">
      <c r="B1540" s="166"/>
      <c r="C1540" s="223"/>
      <c r="E1540" s="75"/>
      <c r="F1540" s="75"/>
      <c r="G1540" s="85"/>
      <c r="H1540" s="139"/>
      <c r="I1540" s="292"/>
    </row>
    <row r="1541" spans="2:10" ht="14.4" thickBot="1" x14ac:dyDescent="0.3">
      <c r="B1541" s="330" t="s">
        <v>18</v>
      </c>
      <c r="C1541" s="330"/>
      <c r="D1541" s="331" t="s">
        <v>19</v>
      </c>
      <c r="E1541" s="331"/>
      <c r="F1541" s="331"/>
      <c r="G1541" s="331"/>
      <c r="H1541" s="331"/>
      <c r="I1541" s="291" t="s">
        <v>20</v>
      </c>
    </row>
    <row r="1542" spans="2:10" ht="14.4" thickBot="1" x14ac:dyDescent="0.3">
      <c r="B1542" s="329" t="s">
        <v>1117</v>
      </c>
      <c r="C1542" s="329"/>
      <c r="D1542" s="332" t="s">
        <v>1082</v>
      </c>
      <c r="E1542" s="332"/>
      <c r="F1542" s="332"/>
      <c r="G1542" s="332"/>
      <c r="H1542" s="332"/>
      <c r="I1542" s="80" t="s">
        <v>8</v>
      </c>
    </row>
    <row r="1543" spans="2:10" ht="14.4" thickBot="1" x14ac:dyDescent="0.3">
      <c r="B1543" s="328" t="s">
        <v>21</v>
      </c>
      <c r="C1543" s="328"/>
      <c r="D1543" s="141"/>
      <c r="E1543" s="226" t="s">
        <v>22</v>
      </c>
      <c r="F1543" s="226" t="s">
        <v>23</v>
      </c>
      <c r="G1543" s="88" t="s">
        <v>24</v>
      </c>
      <c r="H1543" s="89" t="s">
        <v>25</v>
      </c>
      <c r="I1543" s="83" t="s">
        <v>26</v>
      </c>
    </row>
    <row r="1544" spans="2:10" ht="20.399999999999999" x14ac:dyDescent="0.25">
      <c r="B1544" s="155" t="s">
        <v>1083</v>
      </c>
      <c r="C1544" s="151" t="s">
        <v>1084</v>
      </c>
      <c r="D1544" s="84" t="s">
        <v>1085</v>
      </c>
      <c r="E1544" s="75" t="s">
        <v>8</v>
      </c>
      <c r="F1544" s="140">
        <v>1</v>
      </c>
      <c r="G1544" s="77">
        <v>1</v>
      </c>
      <c r="H1544" s="139">
        <v>37.630000000000003</v>
      </c>
      <c r="I1544" s="140">
        <f t="shared" ref="I1544:I1545" si="111">F1544*G1544*H1544</f>
        <v>37.630000000000003</v>
      </c>
      <c r="J1544" s="164"/>
    </row>
    <row r="1545" spans="2:10" ht="14.4" thickBot="1" x14ac:dyDescent="0.3">
      <c r="B1545" s="166">
        <v>370</v>
      </c>
      <c r="C1545" s="151" t="s">
        <v>1</v>
      </c>
      <c r="D1545" s="84" t="s">
        <v>1004</v>
      </c>
      <c r="E1545" s="75" t="s">
        <v>80</v>
      </c>
      <c r="F1545" s="140">
        <v>1</v>
      </c>
      <c r="G1545" s="77">
        <f>0.048*1</f>
        <v>4.8000000000000001E-2</v>
      </c>
      <c r="H1545" s="139">
        <v>83.5</v>
      </c>
      <c r="I1545" s="140">
        <f t="shared" si="111"/>
        <v>4.008</v>
      </c>
    </row>
    <row r="1546" spans="2:10" ht="14.4" thickBot="1" x14ac:dyDescent="0.3">
      <c r="B1546" s="328" t="s">
        <v>27</v>
      </c>
      <c r="C1546" s="328"/>
      <c r="D1546" s="141"/>
      <c r="E1546" s="226" t="s">
        <v>22</v>
      </c>
      <c r="F1546" s="226" t="s">
        <v>23</v>
      </c>
      <c r="G1546" s="88" t="s">
        <v>24</v>
      </c>
      <c r="H1546" s="89" t="s">
        <v>25</v>
      </c>
      <c r="I1546" s="83" t="s">
        <v>26</v>
      </c>
    </row>
    <row r="1547" spans="2:10" x14ac:dyDescent="0.25">
      <c r="B1547" s="166">
        <v>93358</v>
      </c>
      <c r="C1547" s="151" t="s">
        <v>1</v>
      </c>
      <c r="D1547" s="84" t="s">
        <v>839</v>
      </c>
      <c r="E1547" s="75" t="s">
        <v>80</v>
      </c>
      <c r="F1547" s="140">
        <v>1</v>
      </c>
      <c r="G1547" s="77">
        <f>0.2862*1</f>
        <v>0.28620000000000001</v>
      </c>
      <c r="H1547" s="139">
        <v>59.97</v>
      </c>
      <c r="I1547" s="140">
        <f t="shared" ref="I1547:I1548" si="112">F1547*G1547*H1547</f>
        <v>17.163414</v>
      </c>
    </row>
    <row r="1548" spans="2:10" x14ac:dyDescent="0.25">
      <c r="B1548" s="166">
        <v>101616</v>
      </c>
      <c r="C1548" s="151" t="s">
        <v>1</v>
      </c>
      <c r="D1548" s="84" t="s">
        <v>1072</v>
      </c>
      <c r="E1548" s="75" t="s">
        <v>37</v>
      </c>
      <c r="F1548" s="140">
        <v>1</v>
      </c>
      <c r="G1548" s="77">
        <f>0.6*1</f>
        <v>0.6</v>
      </c>
      <c r="H1548" s="139">
        <v>4.37</v>
      </c>
      <c r="I1548" s="140">
        <f t="shared" si="112"/>
        <v>2.6219999999999999</v>
      </c>
    </row>
    <row r="1549" spans="2:10" ht="14.4" thickBot="1" x14ac:dyDescent="0.3">
      <c r="B1549" s="166">
        <v>93382</v>
      </c>
      <c r="C1549" s="151" t="s">
        <v>1</v>
      </c>
      <c r="D1549" s="84" t="s">
        <v>982</v>
      </c>
      <c r="E1549" s="75" t="s">
        <v>80</v>
      </c>
      <c r="F1549" s="140">
        <v>1</v>
      </c>
      <c r="G1549" s="77">
        <f>0.2208*1</f>
        <v>0.2208</v>
      </c>
      <c r="H1549" s="139">
        <v>21.84</v>
      </c>
      <c r="I1549" s="140">
        <f>F1549*G1549*H1549</f>
        <v>4.8222719999999999</v>
      </c>
    </row>
    <row r="1550" spans="2:10" ht="14.4" thickBot="1" x14ac:dyDescent="0.3">
      <c r="B1550" s="328" t="s">
        <v>28</v>
      </c>
      <c r="C1550" s="328"/>
      <c r="D1550" s="141"/>
      <c r="E1550" s="226" t="s">
        <v>22</v>
      </c>
      <c r="F1550" s="226" t="s">
        <v>23</v>
      </c>
      <c r="G1550" s="88" t="s">
        <v>24</v>
      </c>
      <c r="H1550" s="89" t="s">
        <v>25</v>
      </c>
      <c r="I1550" s="83" t="s">
        <v>26</v>
      </c>
    </row>
    <row r="1551" spans="2:10" x14ac:dyDescent="0.25">
      <c r="B1551" s="166">
        <v>88309</v>
      </c>
      <c r="C1551" s="151" t="s">
        <v>1</v>
      </c>
      <c r="D1551" s="84" t="s">
        <v>87</v>
      </c>
      <c r="E1551" s="75" t="s">
        <v>2</v>
      </c>
      <c r="F1551" s="140">
        <v>1</v>
      </c>
      <c r="G1551" s="77">
        <v>0.17399999999999999</v>
      </c>
      <c r="H1551" s="139">
        <v>18.86</v>
      </c>
      <c r="I1551" s="140">
        <f t="shared" ref="I1551:I1552" si="113">F1551*G1551*H1551</f>
        <v>3.2816399999999999</v>
      </c>
    </row>
    <row r="1552" spans="2:10" ht="14.4" thickBot="1" x14ac:dyDescent="0.3">
      <c r="B1552" s="166">
        <v>88316</v>
      </c>
      <c r="C1552" s="151" t="s">
        <v>1</v>
      </c>
      <c r="D1552" s="84" t="s">
        <v>43</v>
      </c>
      <c r="E1552" s="75" t="s">
        <v>2</v>
      </c>
      <c r="F1552" s="140">
        <v>1</v>
      </c>
      <c r="G1552" s="77">
        <v>0.28199999999999997</v>
      </c>
      <c r="H1552" s="139">
        <v>15.16</v>
      </c>
      <c r="I1552" s="140">
        <f t="shared" si="113"/>
        <v>4.2751199999999994</v>
      </c>
    </row>
    <row r="1553" spans="2:11" ht="14.4" thickBot="1" x14ac:dyDescent="0.3">
      <c r="B1553" s="328" t="s">
        <v>29</v>
      </c>
      <c r="C1553" s="328"/>
      <c r="D1553" s="328"/>
      <c r="E1553" s="328"/>
      <c r="F1553" s="328"/>
      <c r="G1553" s="328"/>
      <c r="H1553" s="328"/>
      <c r="I1553" s="296">
        <f>SUM(I1544:I1552)</f>
        <v>73.802446000000003</v>
      </c>
    </row>
    <row r="1554" spans="2:11" x14ac:dyDescent="0.25">
      <c r="B1554" s="166"/>
      <c r="C1554" s="223" t="s">
        <v>30</v>
      </c>
      <c r="D1554" s="90" t="s">
        <v>1086</v>
      </c>
      <c r="E1554" s="75"/>
      <c r="F1554" s="75"/>
      <c r="G1554" s="85"/>
      <c r="H1554" s="139"/>
      <c r="I1554" s="293"/>
    </row>
    <row r="1555" spans="2:11" x14ac:dyDescent="0.25">
      <c r="B1555" s="166"/>
      <c r="C1555" s="223"/>
      <c r="E1555" s="75"/>
      <c r="F1555" s="75"/>
      <c r="G1555" s="85"/>
      <c r="H1555" s="139"/>
      <c r="I1555" s="295"/>
    </row>
    <row r="1556" spans="2:11" ht="14.4" thickBot="1" x14ac:dyDescent="0.3">
      <c r="B1556" s="166"/>
      <c r="C1556" s="223"/>
      <c r="E1556" s="75"/>
      <c r="F1556" s="75"/>
      <c r="G1556" s="85"/>
      <c r="H1556" s="139"/>
      <c r="I1556" s="292"/>
    </row>
    <row r="1557" spans="2:11" ht="14.4" thickBot="1" x14ac:dyDescent="0.3">
      <c r="B1557" s="330" t="s">
        <v>18</v>
      </c>
      <c r="C1557" s="330"/>
      <c r="D1557" s="331" t="s">
        <v>19</v>
      </c>
      <c r="E1557" s="331"/>
      <c r="F1557" s="331"/>
      <c r="G1557" s="331"/>
      <c r="H1557" s="331"/>
      <c r="I1557" s="291" t="s">
        <v>20</v>
      </c>
    </row>
    <row r="1558" spans="2:11" ht="14.4" thickBot="1" x14ac:dyDescent="0.3">
      <c r="B1558" s="329" t="s">
        <v>1118</v>
      </c>
      <c r="C1558" s="329"/>
      <c r="D1558" s="332" t="s">
        <v>1087</v>
      </c>
      <c r="E1558" s="332"/>
      <c r="F1558" s="332"/>
      <c r="G1558" s="332"/>
      <c r="H1558" s="332"/>
      <c r="I1558" s="80" t="s">
        <v>8</v>
      </c>
      <c r="K1558" s="165"/>
    </row>
    <row r="1559" spans="2:11" ht="14.4" thickBot="1" x14ac:dyDescent="0.3">
      <c r="B1559" s="328" t="s">
        <v>21</v>
      </c>
      <c r="C1559" s="328"/>
      <c r="D1559" s="141"/>
      <c r="E1559" s="226" t="s">
        <v>22</v>
      </c>
      <c r="F1559" s="226" t="s">
        <v>23</v>
      </c>
      <c r="G1559" s="88" t="s">
        <v>24</v>
      </c>
      <c r="H1559" s="89" t="s">
        <v>25</v>
      </c>
      <c r="I1559" s="83" t="s">
        <v>26</v>
      </c>
    </row>
    <row r="1560" spans="2:11" x14ac:dyDescent="0.25">
      <c r="B1560" s="166">
        <v>11864</v>
      </c>
      <c r="C1560" s="151" t="s">
        <v>9</v>
      </c>
      <c r="D1560" s="84" t="s">
        <v>1088</v>
      </c>
      <c r="E1560" s="75" t="s">
        <v>8</v>
      </c>
      <c r="F1560" s="140">
        <v>1</v>
      </c>
      <c r="G1560" s="77">
        <v>1</v>
      </c>
      <c r="H1560" s="139">
        <v>60.75</v>
      </c>
      <c r="I1560" s="140">
        <f t="shared" ref="I1560:I1561" si="114">F1560*G1560*H1560</f>
        <v>60.75</v>
      </c>
    </row>
    <row r="1561" spans="2:11" ht="14.4" thickBot="1" x14ac:dyDescent="0.3">
      <c r="B1561" s="166">
        <v>370</v>
      </c>
      <c r="C1561" s="151" t="s">
        <v>1</v>
      </c>
      <c r="D1561" s="84" t="s">
        <v>1004</v>
      </c>
      <c r="E1561" s="75" t="s">
        <v>80</v>
      </c>
      <c r="F1561" s="140">
        <v>1</v>
      </c>
      <c r="G1561" s="77">
        <f>0.0494*1</f>
        <v>4.9399999999999999E-2</v>
      </c>
      <c r="H1561" s="139">
        <v>83.5</v>
      </c>
      <c r="I1561" s="140">
        <f t="shared" si="114"/>
        <v>4.1249000000000002</v>
      </c>
    </row>
    <row r="1562" spans="2:11" ht="14.4" thickBot="1" x14ac:dyDescent="0.3">
      <c r="B1562" s="328" t="s">
        <v>27</v>
      </c>
      <c r="C1562" s="328"/>
      <c r="D1562" s="141"/>
      <c r="E1562" s="226" t="s">
        <v>22</v>
      </c>
      <c r="F1562" s="226" t="s">
        <v>23</v>
      </c>
      <c r="G1562" s="88" t="s">
        <v>24</v>
      </c>
      <c r="H1562" s="89" t="s">
        <v>25</v>
      </c>
      <c r="I1562" s="83" t="s">
        <v>26</v>
      </c>
    </row>
    <row r="1563" spans="2:11" x14ac:dyDescent="0.25">
      <c r="B1563" s="166">
        <v>93358</v>
      </c>
      <c r="C1563" s="151" t="s">
        <v>1</v>
      </c>
      <c r="D1563" s="84" t="s">
        <v>839</v>
      </c>
      <c r="E1563" s="75" t="s">
        <v>80</v>
      </c>
      <c r="F1563" s="140">
        <v>1</v>
      </c>
      <c r="G1563" s="77">
        <f>0.3247*1</f>
        <v>0.32469999999999999</v>
      </c>
      <c r="H1563" s="139">
        <v>59.97</v>
      </c>
      <c r="I1563" s="140">
        <f t="shared" ref="I1563:I1564" si="115">F1563*G1563*H1563</f>
        <v>19.472258999999998</v>
      </c>
    </row>
    <row r="1564" spans="2:11" x14ac:dyDescent="0.25">
      <c r="B1564" s="166">
        <v>101616</v>
      </c>
      <c r="C1564" s="151" t="s">
        <v>1</v>
      </c>
      <c r="D1564" s="84" t="s">
        <v>1072</v>
      </c>
      <c r="E1564" s="75" t="s">
        <v>37</v>
      </c>
      <c r="F1564" s="140">
        <v>1</v>
      </c>
      <c r="G1564" s="77">
        <f>0.6*1</f>
        <v>0.6</v>
      </c>
      <c r="H1564" s="139">
        <v>4.37</v>
      </c>
      <c r="I1564" s="140">
        <f t="shared" si="115"/>
        <v>2.6219999999999999</v>
      </c>
    </row>
    <row r="1565" spans="2:11" ht="14.4" thickBot="1" x14ac:dyDescent="0.3">
      <c r="B1565" s="166">
        <v>93382</v>
      </c>
      <c r="C1565" s="151" t="s">
        <v>1</v>
      </c>
      <c r="D1565" s="84" t="s">
        <v>982</v>
      </c>
      <c r="E1565" s="75" t="s">
        <v>80</v>
      </c>
      <c r="F1565" s="140">
        <v>1</v>
      </c>
      <c r="G1565" s="77">
        <f>0.23*1</f>
        <v>0.23</v>
      </c>
      <c r="H1565" s="139">
        <v>21.84</v>
      </c>
      <c r="I1565" s="140">
        <f>F1565*G1565*H1565</f>
        <v>5.0232000000000001</v>
      </c>
    </row>
    <row r="1566" spans="2:11" ht="14.4" thickBot="1" x14ac:dyDescent="0.3">
      <c r="B1566" s="328" t="s">
        <v>28</v>
      </c>
      <c r="C1566" s="328"/>
      <c r="D1566" s="141"/>
      <c r="E1566" s="226" t="s">
        <v>22</v>
      </c>
      <c r="F1566" s="226" t="s">
        <v>23</v>
      </c>
      <c r="G1566" s="88" t="s">
        <v>24</v>
      </c>
      <c r="H1566" s="89" t="s">
        <v>25</v>
      </c>
      <c r="I1566" s="83" t="s">
        <v>26</v>
      </c>
    </row>
    <row r="1567" spans="2:11" x14ac:dyDescent="0.25">
      <c r="B1567" s="166">
        <v>88309</v>
      </c>
      <c r="C1567" s="151" t="s">
        <v>1</v>
      </c>
      <c r="D1567" s="84" t="s">
        <v>87</v>
      </c>
      <c r="E1567" s="75" t="s">
        <v>2</v>
      </c>
      <c r="F1567" s="140">
        <v>1</v>
      </c>
      <c r="G1567" s="77">
        <v>0.17399999999999999</v>
      </c>
      <c r="H1567" s="139">
        <v>18.86</v>
      </c>
      <c r="I1567" s="140">
        <f t="shared" ref="I1567:I1568" si="116">F1567*G1567*H1567</f>
        <v>3.2816399999999999</v>
      </c>
    </row>
    <row r="1568" spans="2:11" ht="14.4" thickBot="1" x14ac:dyDescent="0.3">
      <c r="B1568" s="166">
        <v>88316</v>
      </c>
      <c r="C1568" s="151" t="s">
        <v>1</v>
      </c>
      <c r="D1568" s="84" t="s">
        <v>43</v>
      </c>
      <c r="E1568" s="75" t="s">
        <v>2</v>
      </c>
      <c r="F1568" s="140">
        <v>1</v>
      </c>
      <c r="G1568" s="77">
        <v>0.28199999999999997</v>
      </c>
      <c r="H1568" s="139">
        <v>15.16</v>
      </c>
      <c r="I1568" s="140">
        <f t="shared" si="116"/>
        <v>4.2751199999999994</v>
      </c>
    </row>
    <row r="1569" spans="2:9" ht="14.4" thickBot="1" x14ac:dyDescent="0.3">
      <c r="B1569" s="328" t="s">
        <v>29</v>
      </c>
      <c r="C1569" s="328"/>
      <c r="D1569" s="328"/>
      <c r="E1569" s="328"/>
      <c r="F1569" s="328"/>
      <c r="G1569" s="328"/>
      <c r="H1569" s="328"/>
      <c r="I1569" s="296">
        <f>SUM(I1560:I1568)</f>
        <v>99.54911899999999</v>
      </c>
    </row>
    <row r="1570" spans="2:9" x14ac:dyDescent="0.25">
      <c r="B1570" s="166"/>
      <c r="C1570" s="223" t="s">
        <v>30</v>
      </c>
      <c r="D1570" s="90" t="s">
        <v>1086</v>
      </c>
      <c r="E1570" s="75"/>
      <c r="F1570" s="75"/>
      <c r="G1570" s="85"/>
      <c r="H1570" s="139"/>
      <c r="I1570" s="293"/>
    </row>
    <row r="1571" spans="2:9" x14ac:dyDescent="0.25">
      <c r="B1571" s="166"/>
      <c r="C1571" s="223"/>
      <c r="E1571" s="75"/>
      <c r="F1571" s="75"/>
      <c r="G1571" s="85"/>
      <c r="H1571" s="139"/>
      <c r="I1571" s="295"/>
    </row>
    <row r="1572" spans="2:9" ht="14.4" thickBot="1" x14ac:dyDescent="0.3">
      <c r="B1572" s="166"/>
      <c r="C1572" s="223"/>
      <c r="E1572" s="75"/>
      <c r="F1572" s="75"/>
      <c r="G1572" s="85"/>
      <c r="H1572" s="139"/>
      <c r="I1572" s="292"/>
    </row>
    <row r="1573" spans="2:9" ht="14.4" thickBot="1" x14ac:dyDescent="0.3">
      <c r="B1573" s="330" t="s">
        <v>18</v>
      </c>
      <c r="C1573" s="330"/>
      <c r="D1573" s="331" t="s">
        <v>19</v>
      </c>
      <c r="E1573" s="331"/>
      <c r="F1573" s="331"/>
      <c r="G1573" s="331"/>
      <c r="H1573" s="331"/>
      <c r="I1573" s="291" t="s">
        <v>20</v>
      </c>
    </row>
    <row r="1574" spans="2:9" ht="14.4" thickBot="1" x14ac:dyDescent="0.3">
      <c r="B1574" s="330" t="s">
        <v>1119</v>
      </c>
      <c r="C1574" s="330"/>
      <c r="D1574" s="334" t="s">
        <v>1089</v>
      </c>
      <c r="E1574" s="334"/>
      <c r="F1574" s="334"/>
      <c r="G1574" s="334"/>
      <c r="H1574" s="334"/>
      <c r="I1574" s="293" t="s">
        <v>8</v>
      </c>
    </row>
    <row r="1575" spans="2:9" ht="14.4" thickBot="1" x14ac:dyDescent="0.3">
      <c r="B1575" s="328" t="s">
        <v>21</v>
      </c>
      <c r="C1575" s="328"/>
      <c r="D1575" s="141"/>
      <c r="E1575" s="226" t="s">
        <v>22</v>
      </c>
      <c r="F1575" s="226" t="s">
        <v>23</v>
      </c>
      <c r="G1575" s="88" t="s">
        <v>24</v>
      </c>
      <c r="H1575" s="89" t="s">
        <v>25</v>
      </c>
      <c r="I1575" s="83" t="s">
        <v>26</v>
      </c>
    </row>
    <row r="1576" spans="2:9" ht="20.399999999999999" x14ac:dyDescent="0.25">
      <c r="B1576" s="166">
        <v>11865</v>
      </c>
      <c r="C1576" s="151" t="s">
        <v>9</v>
      </c>
      <c r="D1576" s="84" t="s">
        <v>1090</v>
      </c>
      <c r="E1576" s="75" t="s">
        <v>8</v>
      </c>
      <c r="F1576" s="140">
        <v>1</v>
      </c>
      <c r="G1576" s="77">
        <v>1</v>
      </c>
      <c r="H1576" s="139">
        <v>73.510000000000005</v>
      </c>
      <c r="I1576" s="140">
        <f t="shared" ref="I1576:I1577" si="117">F1576*G1576*H1576</f>
        <v>73.510000000000005</v>
      </c>
    </row>
    <row r="1577" spans="2:9" ht="14.4" thickBot="1" x14ac:dyDescent="0.3">
      <c r="B1577" s="166">
        <v>370</v>
      </c>
      <c r="C1577" s="151" t="s">
        <v>1</v>
      </c>
      <c r="D1577" s="84" t="s">
        <v>1004</v>
      </c>
      <c r="E1577" s="75" t="s">
        <v>80</v>
      </c>
      <c r="F1577" s="140">
        <v>1</v>
      </c>
      <c r="G1577" s="77">
        <f>0.0701*1</f>
        <v>7.0099999999999996E-2</v>
      </c>
      <c r="H1577" s="139">
        <v>83.5</v>
      </c>
      <c r="I1577" s="140">
        <f t="shared" si="117"/>
        <v>5.8533499999999998</v>
      </c>
    </row>
    <row r="1578" spans="2:9" ht="14.4" thickBot="1" x14ac:dyDescent="0.3">
      <c r="B1578" s="328" t="s">
        <v>27</v>
      </c>
      <c r="C1578" s="328"/>
      <c r="D1578" s="141"/>
      <c r="E1578" s="226" t="s">
        <v>22</v>
      </c>
      <c r="F1578" s="226" t="s">
        <v>23</v>
      </c>
      <c r="G1578" s="88" t="s">
        <v>24</v>
      </c>
      <c r="H1578" s="89" t="s">
        <v>25</v>
      </c>
      <c r="I1578" s="83" t="s">
        <v>26</v>
      </c>
    </row>
    <row r="1579" spans="2:9" x14ac:dyDescent="0.25">
      <c r="B1579" s="166">
        <v>93358</v>
      </c>
      <c r="C1579" s="151" t="s">
        <v>1</v>
      </c>
      <c r="D1579" s="84" t="s">
        <v>839</v>
      </c>
      <c r="E1579" s="75" t="s">
        <v>80</v>
      </c>
      <c r="F1579" s="140">
        <v>1</v>
      </c>
      <c r="G1579" s="77">
        <f>0.4228*1</f>
        <v>0.42280000000000001</v>
      </c>
      <c r="H1579" s="139">
        <v>59.97</v>
      </c>
      <c r="I1579" s="140">
        <f t="shared" ref="I1579:I1580" si="118">F1579*G1579*H1579</f>
        <v>25.355315999999998</v>
      </c>
    </row>
    <row r="1580" spans="2:9" x14ac:dyDescent="0.25">
      <c r="B1580" s="166">
        <v>101616</v>
      </c>
      <c r="C1580" s="151" t="s">
        <v>1</v>
      </c>
      <c r="D1580" s="84" t="s">
        <v>1072</v>
      </c>
      <c r="E1580" s="75" t="s">
        <v>37</v>
      </c>
      <c r="F1580" s="140">
        <v>1</v>
      </c>
      <c r="G1580" s="77">
        <f>0.7*1</f>
        <v>0.7</v>
      </c>
      <c r="H1580" s="139">
        <v>4.37</v>
      </c>
      <c r="I1580" s="140">
        <f t="shared" si="118"/>
        <v>3.0589999999999997</v>
      </c>
    </row>
    <row r="1581" spans="2:9" ht="14.4" thickBot="1" x14ac:dyDescent="0.3">
      <c r="B1581" s="166">
        <v>93382</v>
      </c>
      <c r="C1581" s="151" t="s">
        <v>1</v>
      </c>
      <c r="D1581" s="84" t="s">
        <v>982</v>
      </c>
      <c r="E1581" s="75" t="s">
        <v>80</v>
      </c>
      <c r="F1581" s="140">
        <v>1</v>
      </c>
      <c r="G1581" s="77">
        <f>0.2801*1</f>
        <v>0.28010000000000002</v>
      </c>
      <c r="H1581" s="139">
        <v>21.84</v>
      </c>
      <c r="I1581" s="140">
        <f>F1581*G1581*H1581</f>
        <v>6.1173840000000004</v>
      </c>
    </row>
    <row r="1582" spans="2:9" ht="14.4" thickBot="1" x14ac:dyDescent="0.3">
      <c r="B1582" s="328" t="s">
        <v>28</v>
      </c>
      <c r="C1582" s="328"/>
      <c r="D1582" s="141"/>
      <c r="E1582" s="226" t="s">
        <v>22</v>
      </c>
      <c r="F1582" s="226" t="s">
        <v>23</v>
      </c>
      <c r="G1582" s="88" t="s">
        <v>24</v>
      </c>
      <c r="H1582" s="89" t="s">
        <v>25</v>
      </c>
      <c r="I1582" s="83" t="s">
        <v>26</v>
      </c>
    </row>
    <row r="1583" spans="2:9" x14ac:dyDescent="0.25">
      <c r="B1583" s="166">
        <v>88309</v>
      </c>
      <c r="C1583" s="151" t="s">
        <v>1</v>
      </c>
      <c r="D1583" s="84" t="s">
        <v>87</v>
      </c>
      <c r="E1583" s="75" t="s">
        <v>2</v>
      </c>
      <c r="F1583" s="140">
        <v>1</v>
      </c>
      <c r="G1583" s="77">
        <v>0.17399999999999999</v>
      </c>
      <c r="H1583" s="139">
        <v>18.86</v>
      </c>
      <c r="I1583" s="140">
        <f t="shared" ref="I1583:I1584" si="119">F1583*G1583*H1583</f>
        <v>3.2816399999999999</v>
      </c>
    </row>
    <row r="1584" spans="2:9" ht="14.4" thickBot="1" x14ac:dyDescent="0.3">
      <c r="B1584" s="166">
        <v>88316</v>
      </c>
      <c r="C1584" s="151" t="s">
        <v>1</v>
      </c>
      <c r="D1584" s="84" t="s">
        <v>43</v>
      </c>
      <c r="E1584" s="75" t="s">
        <v>2</v>
      </c>
      <c r="F1584" s="140">
        <v>1</v>
      </c>
      <c r="G1584" s="77">
        <v>0.28199999999999997</v>
      </c>
      <c r="H1584" s="139">
        <v>15.16</v>
      </c>
      <c r="I1584" s="140">
        <f t="shared" si="119"/>
        <v>4.2751199999999994</v>
      </c>
    </row>
    <row r="1585" spans="2:10" ht="14.4" thickBot="1" x14ac:dyDescent="0.3">
      <c r="B1585" s="328" t="s">
        <v>29</v>
      </c>
      <c r="C1585" s="328"/>
      <c r="D1585" s="328"/>
      <c r="E1585" s="328"/>
      <c r="F1585" s="328"/>
      <c r="G1585" s="328"/>
      <c r="H1585" s="328"/>
      <c r="I1585" s="296">
        <f>SUM(I1576:I1584)</f>
        <v>121.45181000000001</v>
      </c>
    </row>
    <row r="1586" spans="2:10" x14ac:dyDescent="0.25">
      <c r="B1586" s="166"/>
      <c r="C1586" s="223" t="s">
        <v>30</v>
      </c>
      <c r="D1586" s="90" t="s">
        <v>1086</v>
      </c>
      <c r="E1586" s="75"/>
      <c r="F1586" s="75"/>
      <c r="G1586" s="85"/>
      <c r="H1586" s="139"/>
      <c r="I1586" s="293"/>
    </row>
    <row r="1587" spans="2:10" x14ac:dyDescent="0.25">
      <c r="B1587" s="166"/>
      <c r="C1587" s="223"/>
      <c r="E1587" s="75"/>
      <c r="F1587" s="75"/>
      <c r="G1587" s="85"/>
      <c r="H1587" s="139"/>
      <c r="I1587" s="295"/>
      <c r="J1587" s="69" t="s">
        <v>1091</v>
      </c>
    </row>
    <row r="1588" spans="2:10" ht="14.4" thickBot="1" x14ac:dyDescent="0.3">
      <c r="B1588" s="166"/>
      <c r="C1588" s="223"/>
      <c r="E1588" s="75"/>
      <c r="F1588" s="75"/>
      <c r="G1588" s="85"/>
      <c r="H1588" s="139"/>
      <c r="I1588" s="292"/>
    </row>
    <row r="1589" spans="2:10" ht="14.4" thickBot="1" x14ac:dyDescent="0.3">
      <c r="B1589" s="330" t="s">
        <v>18</v>
      </c>
      <c r="C1589" s="330"/>
      <c r="D1589" s="331" t="s">
        <v>19</v>
      </c>
      <c r="E1589" s="331"/>
      <c r="F1589" s="331"/>
      <c r="G1589" s="331"/>
      <c r="H1589" s="331"/>
      <c r="I1589" s="83" t="s">
        <v>20</v>
      </c>
    </row>
    <row r="1590" spans="2:10" ht="14.4" thickBot="1" x14ac:dyDescent="0.3">
      <c r="B1590" s="329" t="s">
        <v>1120</v>
      </c>
      <c r="C1590" s="329"/>
      <c r="D1590" s="332" t="s">
        <v>1092</v>
      </c>
      <c r="E1590" s="332"/>
      <c r="F1590" s="332"/>
      <c r="G1590" s="332"/>
      <c r="H1590" s="332"/>
      <c r="I1590" s="80" t="s">
        <v>472</v>
      </c>
    </row>
    <row r="1591" spans="2:10" ht="14.4" thickBot="1" x14ac:dyDescent="0.3">
      <c r="B1591" s="328" t="s">
        <v>21</v>
      </c>
      <c r="C1591" s="328"/>
      <c r="D1591" s="141"/>
      <c r="E1591" s="226" t="s">
        <v>22</v>
      </c>
      <c r="F1591" s="226" t="s">
        <v>23</v>
      </c>
      <c r="G1591" s="88" t="s">
        <v>24</v>
      </c>
      <c r="H1591" s="89" t="s">
        <v>25</v>
      </c>
      <c r="I1591" s="83" t="s">
        <v>26</v>
      </c>
    </row>
    <row r="1592" spans="2:10" ht="20.399999999999999" x14ac:dyDescent="0.25">
      <c r="B1592" s="166">
        <v>11301</v>
      </c>
      <c r="C1592" s="151" t="s">
        <v>1</v>
      </c>
      <c r="D1592" s="84" t="s">
        <v>1052</v>
      </c>
      <c r="E1592" s="75" t="s">
        <v>22</v>
      </c>
      <c r="F1592" s="140">
        <v>1</v>
      </c>
      <c r="G1592" s="77">
        <v>1</v>
      </c>
      <c r="H1592" s="139">
        <v>660.46</v>
      </c>
      <c r="I1592" s="140">
        <f t="shared" ref="I1592:I1593" si="120">F1592*G1592*H1592</f>
        <v>660.46</v>
      </c>
    </row>
    <row r="1593" spans="2:10" ht="21" thickBot="1" x14ac:dyDescent="0.3">
      <c r="B1593" s="155" t="s">
        <v>1093</v>
      </c>
      <c r="C1593" s="151" t="s">
        <v>1094</v>
      </c>
      <c r="D1593" s="84" t="s">
        <v>1095</v>
      </c>
      <c r="E1593" s="75" t="s">
        <v>22</v>
      </c>
      <c r="F1593" s="140">
        <v>1</v>
      </c>
      <c r="G1593" s="77">
        <v>2</v>
      </c>
      <c r="H1593" s="139">
        <v>873.13</v>
      </c>
      <c r="I1593" s="140">
        <f t="shared" si="120"/>
        <v>1746.26</v>
      </c>
    </row>
    <row r="1594" spans="2:10" ht="14.4" thickBot="1" x14ac:dyDescent="0.3">
      <c r="B1594" s="328" t="s">
        <v>27</v>
      </c>
      <c r="C1594" s="328"/>
      <c r="D1594" s="141"/>
      <c r="E1594" s="226" t="s">
        <v>22</v>
      </c>
      <c r="F1594" s="226" t="s">
        <v>23</v>
      </c>
      <c r="G1594" s="88" t="s">
        <v>24</v>
      </c>
      <c r="H1594" s="89" t="s">
        <v>25</v>
      </c>
      <c r="I1594" s="83" t="s">
        <v>26</v>
      </c>
    </row>
    <row r="1595" spans="2:10" ht="30.6" x14ac:dyDescent="0.25">
      <c r="B1595" s="166">
        <v>90082</v>
      </c>
      <c r="C1595" s="151" t="s">
        <v>1</v>
      </c>
      <c r="D1595" s="84" t="s">
        <v>1096</v>
      </c>
      <c r="E1595" s="75" t="s">
        <v>80</v>
      </c>
      <c r="F1595" s="140">
        <v>1</v>
      </c>
      <c r="G1595" s="77">
        <f>(0.7876*7)*2</f>
        <v>11.026399999999999</v>
      </c>
      <c r="H1595" s="139">
        <v>9.4600000000000009</v>
      </c>
      <c r="I1595" s="140">
        <f t="shared" ref="I1595:I1596" si="121">F1595*G1595*H1595</f>
        <v>104.30974399999999</v>
      </c>
    </row>
    <row r="1596" spans="2:10" x14ac:dyDescent="0.25">
      <c r="B1596" s="166">
        <v>370</v>
      </c>
      <c r="C1596" s="151" t="s">
        <v>1</v>
      </c>
      <c r="D1596" s="84" t="s">
        <v>1004</v>
      </c>
      <c r="E1596" s="75" t="s">
        <v>80</v>
      </c>
      <c r="F1596" s="140">
        <v>1</v>
      </c>
      <c r="G1596" s="77">
        <f>(0.1256*7)*2</f>
        <v>1.7584</v>
      </c>
      <c r="H1596" s="139">
        <v>83.5</v>
      </c>
      <c r="I1596" s="140">
        <f t="shared" si="121"/>
        <v>146.82640000000001</v>
      </c>
    </row>
    <row r="1597" spans="2:10" x14ac:dyDescent="0.25">
      <c r="B1597" s="166">
        <v>93382</v>
      </c>
      <c r="C1597" s="151" t="s">
        <v>1</v>
      </c>
      <c r="D1597" s="84" t="s">
        <v>982</v>
      </c>
      <c r="E1597" s="75" t="s">
        <v>80</v>
      </c>
      <c r="F1597" s="140">
        <v>1</v>
      </c>
      <c r="G1597" s="77">
        <f>(0.5168*7)*2</f>
        <v>7.2352000000000007</v>
      </c>
      <c r="H1597" s="139">
        <v>21.84</v>
      </c>
      <c r="I1597" s="140">
        <f>F1597*G1597*H1597</f>
        <v>158.01676800000001</v>
      </c>
    </row>
    <row r="1598" spans="2:10" x14ac:dyDescent="0.25">
      <c r="B1598" s="166">
        <v>97629</v>
      </c>
      <c r="C1598" s="151" t="s">
        <v>1</v>
      </c>
      <c r="D1598" s="84" t="s">
        <v>1097</v>
      </c>
      <c r="E1598" s="75" t="s">
        <v>80</v>
      </c>
      <c r="F1598" s="140">
        <v>1</v>
      </c>
      <c r="G1598" s="77">
        <f>(1.3*1.5*0.08)*2</f>
        <v>0.31200000000000006</v>
      </c>
      <c r="H1598" s="139">
        <v>84.5</v>
      </c>
      <c r="I1598" s="140">
        <f t="shared" ref="I1598:I1601" si="122">F1598*G1598*H1598</f>
        <v>26.364000000000004</v>
      </c>
    </row>
    <row r="1599" spans="2:10" ht="20.399999999999999" x14ac:dyDescent="0.25">
      <c r="B1599" s="166">
        <v>102098</v>
      </c>
      <c r="C1599" s="151" t="s">
        <v>1</v>
      </c>
      <c r="D1599" s="84" t="s">
        <v>1098</v>
      </c>
      <c r="E1599" s="75" t="s">
        <v>80</v>
      </c>
      <c r="F1599" s="140">
        <v>1</v>
      </c>
      <c r="G1599" s="77">
        <f>(1.3*7*2)*0.06</f>
        <v>1.0919999999999999</v>
      </c>
      <c r="H1599" s="139">
        <v>1641.81</v>
      </c>
      <c r="I1599" s="140">
        <f t="shared" si="122"/>
        <v>1792.8565199999998</v>
      </c>
    </row>
    <row r="1600" spans="2:10" ht="20.399999999999999" x14ac:dyDescent="0.25">
      <c r="B1600" s="166">
        <v>88628</v>
      </c>
      <c r="C1600" s="151" t="s">
        <v>1</v>
      </c>
      <c r="D1600" s="84" t="s">
        <v>289</v>
      </c>
      <c r="E1600" s="75" t="s">
        <v>80</v>
      </c>
      <c r="F1600" s="140">
        <f>80/60</f>
        <v>1.3333333333333333</v>
      </c>
      <c r="G1600" s="77">
        <v>2.9000000000000001E-2</v>
      </c>
      <c r="H1600" s="139">
        <v>486.93</v>
      </c>
      <c r="I1600" s="140">
        <f t="shared" si="122"/>
        <v>18.827960000000001</v>
      </c>
    </row>
    <row r="1601" spans="2:9" ht="21" thickBot="1" x14ac:dyDescent="0.3">
      <c r="B1601" s="166">
        <v>97738</v>
      </c>
      <c r="C1601" s="151" t="s">
        <v>1</v>
      </c>
      <c r="D1601" s="84" t="s">
        <v>1099</v>
      </c>
      <c r="E1601" s="75" t="s">
        <v>80</v>
      </c>
      <c r="F1601" s="140">
        <v>1</v>
      </c>
      <c r="G1601" s="77">
        <f>1.3273*0.08</f>
        <v>0.106184</v>
      </c>
      <c r="H1601" s="139">
        <v>4826.57</v>
      </c>
      <c r="I1601" s="140">
        <f t="shared" si="122"/>
        <v>512.50450888</v>
      </c>
    </row>
    <row r="1602" spans="2:9" ht="14.4" thickBot="1" x14ac:dyDescent="0.3">
      <c r="B1602" s="328" t="s">
        <v>28</v>
      </c>
      <c r="C1602" s="328"/>
      <c r="D1602" s="141"/>
      <c r="E1602" s="226" t="s">
        <v>22</v>
      </c>
      <c r="F1602" s="226" t="s">
        <v>23</v>
      </c>
      <c r="G1602" s="88" t="s">
        <v>24</v>
      </c>
      <c r="H1602" s="89" t="s">
        <v>25</v>
      </c>
      <c r="I1602" s="83" t="s">
        <v>26</v>
      </c>
    </row>
    <row r="1603" spans="2:9" x14ac:dyDescent="0.25">
      <c r="B1603" s="166">
        <v>88309</v>
      </c>
      <c r="C1603" s="151" t="s">
        <v>1</v>
      </c>
      <c r="D1603" s="84" t="s">
        <v>87</v>
      </c>
      <c r="E1603" s="75" t="s">
        <v>2</v>
      </c>
      <c r="F1603" s="140">
        <v>1</v>
      </c>
      <c r="G1603" s="77">
        <v>0.52449999999999997</v>
      </c>
      <c r="H1603" s="139">
        <v>18.86</v>
      </c>
      <c r="I1603" s="140">
        <f t="shared" ref="I1603:I1604" si="123">F1603*G1603*H1603</f>
        <v>9.8920699999999986</v>
      </c>
    </row>
    <row r="1604" spans="2:9" ht="14.4" thickBot="1" x14ac:dyDescent="0.3">
      <c r="B1604" s="166">
        <v>88316</v>
      </c>
      <c r="C1604" s="151" t="s">
        <v>1</v>
      </c>
      <c r="D1604" s="84" t="s">
        <v>43</v>
      </c>
      <c r="E1604" s="75" t="s">
        <v>2</v>
      </c>
      <c r="F1604" s="140">
        <v>1</v>
      </c>
      <c r="G1604" s="77">
        <v>0.41210000000000002</v>
      </c>
      <c r="H1604" s="139">
        <v>15.16</v>
      </c>
      <c r="I1604" s="140">
        <f t="shared" si="123"/>
        <v>6.2474360000000004</v>
      </c>
    </row>
    <row r="1605" spans="2:9" ht="14.4" thickBot="1" x14ac:dyDescent="0.3">
      <c r="B1605" s="328" t="s">
        <v>29</v>
      </c>
      <c r="C1605" s="328"/>
      <c r="D1605" s="328"/>
      <c r="E1605" s="328"/>
      <c r="F1605" s="328"/>
      <c r="G1605" s="328"/>
      <c r="H1605" s="328"/>
      <c r="I1605" s="296">
        <f>SUM(I1592:I1604)</f>
        <v>5182.5654068799986</v>
      </c>
    </row>
    <row r="1606" spans="2:9" x14ac:dyDescent="0.25">
      <c r="B1606" s="166"/>
      <c r="C1606" s="223" t="s">
        <v>30</v>
      </c>
      <c r="D1606" s="90" t="s">
        <v>1100</v>
      </c>
      <c r="E1606" s="75"/>
      <c r="F1606" s="75"/>
      <c r="G1606" s="85"/>
      <c r="H1606" s="139"/>
      <c r="I1606" s="293"/>
    </row>
    <row r="1607" spans="2:9" x14ac:dyDescent="0.25">
      <c r="B1607" s="166"/>
      <c r="C1607" s="223"/>
      <c r="E1607" s="75"/>
      <c r="F1607" s="75"/>
      <c r="G1607" s="85"/>
      <c r="H1607" s="139"/>
      <c r="I1607" s="295"/>
    </row>
    <row r="1608" spans="2:9" ht="14.4" thickBot="1" x14ac:dyDescent="0.3">
      <c r="B1608" s="166"/>
      <c r="C1608" s="223"/>
      <c r="E1608" s="75"/>
      <c r="F1608" s="75"/>
      <c r="G1608" s="85"/>
      <c r="H1608" s="139"/>
      <c r="I1608" s="292"/>
    </row>
    <row r="1609" spans="2:9" ht="14.4" thickBot="1" x14ac:dyDescent="0.3">
      <c r="B1609" s="330" t="s">
        <v>18</v>
      </c>
      <c r="C1609" s="330"/>
      <c r="D1609" s="331" t="s">
        <v>19</v>
      </c>
      <c r="E1609" s="331"/>
      <c r="F1609" s="331"/>
      <c r="G1609" s="331"/>
      <c r="H1609" s="331"/>
      <c r="I1609" s="291" t="s">
        <v>20</v>
      </c>
    </row>
    <row r="1610" spans="2:9" ht="14.4" thickBot="1" x14ac:dyDescent="0.3">
      <c r="B1610" s="329" t="s">
        <v>1121</v>
      </c>
      <c r="C1610" s="329"/>
      <c r="D1610" s="332" t="s">
        <v>1130</v>
      </c>
      <c r="E1610" s="332"/>
      <c r="F1610" s="332"/>
      <c r="G1610" s="332"/>
      <c r="H1610" s="332"/>
      <c r="I1610" s="80" t="s">
        <v>8</v>
      </c>
    </row>
    <row r="1611" spans="2:9" ht="14.4" thickBot="1" x14ac:dyDescent="0.3">
      <c r="B1611" s="328" t="s">
        <v>21</v>
      </c>
      <c r="C1611" s="328"/>
      <c r="D1611" s="141"/>
      <c r="E1611" s="226" t="s">
        <v>22</v>
      </c>
      <c r="F1611" s="226" t="s">
        <v>23</v>
      </c>
      <c r="G1611" s="88" t="s">
        <v>24</v>
      </c>
      <c r="H1611" s="89" t="s">
        <v>25</v>
      </c>
      <c r="I1611" s="83" t="s">
        <v>26</v>
      </c>
    </row>
    <row r="1612" spans="2:9" x14ac:dyDescent="0.25">
      <c r="B1612" s="166">
        <v>8212</v>
      </c>
      <c r="C1612" s="151" t="s">
        <v>9</v>
      </c>
      <c r="D1612" s="84" t="s">
        <v>942</v>
      </c>
      <c r="E1612" s="75" t="s">
        <v>22</v>
      </c>
      <c r="F1612" s="140">
        <v>1</v>
      </c>
      <c r="G1612" s="77">
        <v>1.6</v>
      </c>
      <c r="H1612" s="139">
        <v>1.99</v>
      </c>
      <c r="I1612" s="140">
        <f t="shared" ref="I1612:I1615" si="124">F1612*G1612*H1612</f>
        <v>3.1840000000000002</v>
      </c>
    </row>
    <row r="1613" spans="2:9" x14ac:dyDescent="0.25">
      <c r="B1613" s="166" t="s">
        <v>943</v>
      </c>
      <c r="C1613" s="151" t="s">
        <v>944</v>
      </c>
      <c r="D1613" s="84" t="s">
        <v>945</v>
      </c>
      <c r="E1613" s="75" t="s">
        <v>22</v>
      </c>
      <c r="F1613" s="140">
        <v>1</v>
      </c>
      <c r="G1613" s="77">
        <v>0.4</v>
      </c>
      <c r="H1613" s="139">
        <v>198.96</v>
      </c>
      <c r="I1613" s="140">
        <f t="shared" si="124"/>
        <v>79.584000000000003</v>
      </c>
    </row>
    <row r="1614" spans="2:9" x14ac:dyDescent="0.25">
      <c r="B1614" s="166" t="s">
        <v>946</v>
      </c>
      <c r="C1614" s="151" t="s">
        <v>944</v>
      </c>
      <c r="D1614" s="84" t="s">
        <v>947</v>
      </c>
      <c r="E1614" s="75" t="s">
        <v>22</v>
      </c>
      <c r="F1614" s="140">
        <v>1</v>
      </c>
      <c r="G1614" s="77">
        <v>0.4</v>
      </c>
      <c r="H1614" s="139">
        <v>502.93</v>
      </c>
      <c r="I1614" s="140">
        <f t="shared" si="124"/>
        <v>201.17200000000003</v>
      </c>
    </row>
    <row r="1615" spans="2:9" ht="14.4" thickBot="1" x14ac:dyDescent="0.3">
      <c r="B1615" s="166">
        <v>1558</v>
      </c>
      <c r="C1615" s="151" t="s">
        <v>9</v>
      </c>
      <c r="D1615" s="84" t="s">
        <v>1132</v>
      </c>
      <c r="E1615" s="75" t="s">
        <v>80</v>
      </c>
      <c r="F1615" s="140">
        <v>1</v>
      </c>
      <c r="G1615" s="77">
        <f>0.1*0.1*1</f>
        <v>1.0000000000000002E-2</v>
      </c>
      <c r="H1615" s="139">
        <v>3296</v>
      </c>
      <c r="I1615" s="140">
        <f t="shared" si="124"/>
        <v>32.960000000000008</v>
      </c>
    </row>
    <row r="1616" spans="2:9" ht="14.4" thickBot="1" x14ac:dyDescent="0.3">
      <c r="B1616" s="328" t="s">
        <v>27</v>
      </c>
      <c r="C1616" s="328"/>
      <c r="D1616" s="141"/>
      <c r="E1616" s="226" t="s">
        <v>22</v>
      </c>
      <c r="F1616" s="226" t="s">
        <v>23</v>
      </c>
      <c r="G1616" s="88" t="s">
        <v>24</v>
      </c>
      <c r="H1616" s="89" t="s">
        <v>25</v>
      </c>
      <c r="I1616" s="83" t="s">
        <v>26</v>
      </c>
    </row>
    <row r="1617" spans="2:17" ht="20.399999999999999" x14ac:dyDescent="0.25">
      <c r="B1617" s="166">
        <v>96522</v>
      </c>
      <c r="C1617" s="151" t="s">
        <v>1</v>
      </c>
      <c r="D1617" s="84" t="s">
        <v>1012</v>
      </c>
      <c r="E1617" s="75" t="s">
        <v>80</v>
      </c>
      <c r="F1617" s="140">
        <f>1/2.5</f>
        <v>0.4</v>
      </c>
      <c r="G1617" s="77">
        <f>(0.25*0.25*0.25)*2</f>
        <v>3.125E-2</v>
      </c>
      <c r="H1617" s="139">
        <v>107.38</v>
      </c>
      <c r="I1617" s="140">
        <f t="shared" ref="I1617:I1619" si="125">F1617*G1617*H1617</f>
        <v>1.3422499999999999</v>
      </c>
    </row>
    <row r="1618" spans="2:17" ht="20.399999999999999" x14ac:dyDescent="0.25">
      <c r="B1618" s="166">
        <v>96531</v>
      </c>
      <c r="C1618" s="151" t="s">
        <v>1</v>
      </c>
      <c r="D1618" s="84" t="s">
        <v>1129</v>
      </c>
      <c r="E1618" s="75" t="s">
        <v>37</v>
      </c>
      <c r="F1618" s="140">
        <f>F1617</f>
        <v>0.4</v>
      </c>
      <c r="G1618" s="77">
        <f>(0.25+0.25+0.25+0.25)*0.15*2</f>
        <v>0.3</v>
      </c>
      <c r="H1618" s="139">
        <v>102.05</v>
      </c>
      <c r="I1618" s="140">
        <f t="shared" si="125"/>
        <v>12.245999999999999</v>
      </c>
    </row>
    <row r="1619" spans="2:17" ht="21" thickBot="1" x14ac:dyDescent="0.3">
      <c r="B1619" s="166">
        <v>94964</v>
      </c>
      <c r="C1619" s="151" t="s">
        <v>1</v>
      </c>
      <c r="D1619" s="84" t="s">
        <v>981</v>
      </c>
      <c r="E1619" s="75" t="s">
        <v>80</v>
      </c>
      <c r="F1619" s="140">
        <f>F1617</f>
        <v>0.4</v>
      </c>
      <c r="G1619" s="77">
        <f>(0.25*0.25*0.45)*2</f>
        <v>5.6250000000000001E-2</v>
      </c>
      <c r="H1619" s="139">
        <v>407.4</v>
      </c>
      <c r="I1619" s="140">
        <f t="shared" si="125"/>
        <v>9.166500000000001</v>
      </c>
    </row>
    <row r="1620" spans="2:17" ht="14.4" thickBot="1" x14ac:dyDescent="0.3">
      <c r="B1620" s="328" t="s">
        <v>28</v>
      </c>
      <c r="C1620" s="328"/>
      <c r="D1620" s="141"/>
      <c r="E1620" s="226" t="s">
        <v>22</v>
      </c>
      <c r="F1620" s="226" t="s">
        <v>23</v>
      </c>
      <c r="G1620" s="88" t="s">
        <v>24</v>
      </c>
      <c r="H1620" s="89" t="s">
        <v>25</v>
      </c>
      <c r="I1620" s="226" t="s">
        <v>26</v>
      </c>
    </row>
    <row r="1621" spans="2:17" x14ac:dyDescent="0.25">
      <c r="B1621" s="166">
        <v>88309</v>
      </c>
      <c r="C1621" s="151" t="s">
        <v>1</v>
      </c>
      <c r="D1621" s="84" t="s">
        <v>87</v>
      </c>
      <c r="E1621" s="75" t="s">
        <v>2</v>
      </c>
      <c r="F1621" s="140">
        <v>1</v>
      </c>
      <c r="G1621" s="77">
        <v>1</v>
      </c>
      <c r="H1621" s="139">
        <v>18.86</v>
      </c>
      <c r="I1621" s="166">
        <f t="shared" ref="I1621:I1622" si="126">F1621*G1621*H1621</f>
        <v>18.86</v>
      </c>
    </row>
    <row r="1622" spans="2:17" ht="14.4" thickBot="1" x14ac:dyDescent="0.3">
      <c r="B1622" s="166">
        <v>88316</v>
      </c>
      <c r="C1622" s="151" t="s">
        <v>1</v>
      </c>
      <c r="D1622" s="84" t="s">
        <v>43</v>
      </c>
      <c r="E1622" s="75" t="s">
        <v>2</v>
      </c>
      <c r="F1622" s="140">
        <v>1</v>
      </c>
      <c r="G1622" s="77">
        <v>2</v>
      </c>
      <c r="H1622" s="139">
        <v>15.16</v>
      </c>
      <c r="I1622" s="140">
        <f t="shared" si="126"/>
        <v>30.32</v>
      </c>
    </row>
    <row r="1623" spans="2:17" ht="14.4" thickBot="1" x14ac:dyDescent="0.3">
      <c r="B1623" s="328" t="s">
        <v>29</v>
      </c>
      <c r="C1623" s="328"/>
      <c r="D1623" s="328"/>
      <c r="E1623" s="328"/>
      <c r="F1623" s="328"/>
      <c r="G1623" s="328"/>
      <c r="H1623" s="328"/>
      <c r="I1623" s="296">
        <f>SUM(I1612:I1622)</f>
        <v>388.83475000000004</v>
      </c>
    </row>
    <row r="1624" spans="2:17" x14ac:dyDescent="0.25">
      <c r="B1624" s="166"/>
      <c r="C1624" s="223" t="s">
        <v>30</v>
      </c>
      <c r="D1624" s="90" t="s">
        <v>948</v>
      </c>
      <c r="E1624" s="75"/>
      <c r="F1624" s="75"/>
      <c r="G1624" s="85"/>
      <c r="H1624" s="139"/>
      <c r="I1624" s="293"/>
      <c r="O1624" s="69">
        <v>1580</v>
      </c>
      <c r="P1624" s="69">
        <f>O1624*12</f>
        <v>18960</v>
      </c>
    </row>
    <row r="1625" spans="2:17" x14ac:dyDescent="0.25">
      <c r="B1625" s="166"/>
      <c r="C1625" s="223"/>
      <c r="E1625" s="75"/>
      <c r="F1625" s="75"/>
      <c r="G1625" s="85"/>
      <c r="H1625" s="139"/>
      <c r="I1625" s="295"/>
      <c r="P1625" s="69">
        <f>1500*6</f>
        <v>9000</v>
      </c>
      <c r="Q1625" s="69">
        <f>1660*6</f>
        <v>9960</v>
      </c>
    </row>
    <row r="1626" spans="2:17" ht="14.4" thickBot="1" x14ac:dyDescent="0.3">
      <c r="B1626" s="166"/>
      <c r="C1626" s="223"/>
      <c r="E1626" s="75"/>
      <c r="F1626" s="75"/>
      <c r="G1626" s="85"/>
      <c r="H1626" s="139"/>
      <c r="I1626" s="292"/>
      <c r="O1626" s="69">
        <v>1660</v>
      </c>
      <c r="P1626" s="69">
        <f>O1626*12</f>
        <v>19920</v>
      </c>
    </row>
    <row r="1627" spans="2:17" ht="14.4" thickBot="1" x14ac:dyDescent="0.3">
      <c r="B1627" s="330" t="s">
        <v>18</v>
      </c>
      <c r="C1627" s="330"/>
      <c r="D1627" s="331" t="s">
        <v>19</v>
      </c>
      <c r="E1627" s="331"/>
      <c r="F1627" s="331"/>
      <c r="G1627" s="331"/>
      <c r="H1627" s="331"/>
      <c r="I1627" s="291" t="s">
        <v>20</v>
      </c>
    </row>
    <row r="1628" spans="2:17" ht="14.4" thickBot="1" x14ac:dyDescent="0.3">
      <c r="B1628" s="333" t="s">
        <v>1122</v>
      </c>
      <c r="C1628" s="333"/>
      <c r="D1628" s="338" t="s">
        <v>1123</v>
      </c>
      <c r="E1628" s="338"/>
      <c r="F1628" s="338"/>
      <c r="G1628" s="338"/>
      <c r="H1628" s="338"/>
      <c r="I1628" s="80" t="s">
        <v>37</v>
      </c>
    </row>
    <row r="1629" spans="2:17" ht="14.4" thickBot="1" x14ac:dyDescent="0.3">
      <c r="B1629" s="328" t="s">
        <v>21</v>
      </c>
      <c r="C1629" s="328"/>
      <c r="D1629" s="141"/>
      <c r="E1629" s="226" t="s">
        <v>22</v>
      </c>
      <c r="F1629" s="226" t="s">
        <v>23</v>
      </c>
      <c r="G1629" s="88" t="s">
        <v>24</v>
      </c>
      <c r="H1629" s="89" t="s">
        <v>25</v>
      </c>
      <c r="I1629" s="83" t="s">
        <v>26</v>
      </c>
    </row>
    <row r="1630" spans="2:17" x14ac:dyDescent="0.25">
      <c r="B1630" s="166">
        <v>1319</v>
      </c>
      <c r="C1630" s="151" t="s">
        <v>1</v>
      </c>
      <c r="D1630" s="84" t="s">
        <v>949</v>
      </c>
      <c r="E1630" s="75" t="s">
        <v>82</v>
      </c>
      <c r="F1630" s="140">
        <v>1</v>
      </c>
      <c r="G1630" s="77">
        <v>38</v>
      </c>
      <c r="H1630" s="139">
        <v>10.5</v>
      </c>
      <c r="I1630" s="140">
        <f t="shared" ref="I1630:I1634" si="127">F1630*G1630*H1630</f>
        <v>399</v>
      </c>
    </row>
    <row r="1631" spans="2:17" ht="14.4" thickBot="1" x14ac:dyDescent="0.3">
      <c r="B1631" s="166">
        <v>10998</v>
      </c>
      <c r="C1631" s="151" t="s">
        <v>1</v>
      </c>
      <c r="D1631" s="84" t="s">
        <v>950</v>
      </c>
      <c r="E1631" s="75" t="s">
        <v>82</v>
      </c>
      <c r="F1631" s="140">
        <v>1</v>
      </c>
      <c r="G1631" s="77">
        <v>2.87</v>
      </c>
      <c r="H1631" s="139">
        <v>30.03</v>
      </c>
      <c r="I1631" s="140">
        <f t="shared" si="127"/>
        <v>86.18610000000001</v>
      </c>
    </row>
    <row r="1632" spans="2:17" ht="14.4" thickBot="1" x14ac:dyDescent="0.3">
      <c r="B1632" s="328" t="s">
        <v>27</v>
      </c>
      <c r="C1632" s="328"/>
      <c r="D1632" s="141"/>
      <c r="E1632" s="226" t="s">
        <v>22</v>
      </c>
      <c r="F1632" s="226" t="s">
        <v>23</v>
      </c>
      <c r="G1632" s="88" t="s">
        <v>24</v>
      </c>
      <c r="H1632" s="89" t="s">
        <v>25</v>
      </c>
      <c r="I1632" s="83" t="s">
        <v>26</v>
      </c>
    </row>
    <row r="1633" spans="1:9" ht="20.399999999999999" x14ac:dyDescent="0.25">
      <c r="A1633" s="143" t="s">
        <v>1091</v>
      </c>
      <c r="B1633" s="166">
        <v>100722</v>
      </c>
      <c r="C1633" s="151" t="s">
        <v>1</v>
      </c>
      <c r="D1633" s="84" t="s">
        <v>1140</v>
      </c>
      <c r="E1633" s="75" t="s">
        <v>37</v>
      </c>
      <c r="F1633" s="140">
        <v>1</v>
      </c>
      <c r="G1633" s="77">
        <v>1</v>
      </c>
      <c r="H1633" s="139">
        <v>17.11</v>
      </c>
      <c r="I1633" s="140">
        <f>F1633*G1633*H1633</f>
        <v>17.11</v>
      </c>
    </row>
    <row r="1634" spans="1:9" ht="21" thickBot="1" x14ac:dyDescent="0.3">
      <c r="B1634" s="166">
        <v>100746</v>
      </c>
      <c r="C1634" s="151" t="s">
        <v>1</v>
      </c>
      <c r="D1634" s="84" t="s">
        <v>1141</v>
      </c>
      <c r="E1634" s="75" t="s">
        <v>37</v>
      </c>
      <c r="F1634" s="140">
        <v>1</v>
      </c>
      <c r="G1634" s="77">
        <v>1</v>
      </c>
      <c r="H1634" s="139">
        <v>17.39</v>
      </c>
      <c r="I1634" s="140">
        <f t="shared" si="127"/>
        <v>17.39</v>
      </c>
    </row>
    <row r="1635" spans="1:9" ht="14.4" thickBot="1" x14ac:dyDescent="0.3">
      <c r="B1635" s="328" t="s">
        <v>28</v>
      </c>
      <c r="C1635" s="328"/>
      <c r="D1635" s="141"/>
      <c r="E1635" s="226" t="s">
        <v>22</v>
      </c>
      <c r="F1635" s="226" t="s">
        <v>23</v>
      </c>
      <c r="G1635" s="88" t="s">
        <v>24</v>
      </c>
      <c r="H1635" s="89" t="s">
        <v>25</v>
      </c>
      <c r="I1635" s="83" t="s">
        <v>26</v>
      </c>
    </row>
    <row r="1636" spans="1:9" x14ac:dyDescent="0.25">
      <c r="B1636" s="166">
        <v>88315</v>
      </c>
      <c r="C1636" s="151" t="s">
        <v>1</v>
      </c>
      <c r="D1636" s="84" t="s">
        <v>1135</v>
      </c>
      <c r="E1636" s="75" t="s">
        <v>2</v>
      </c>
      <c r="F1636" s="140">
        <v>1</v>
      </c>
      <c r="G1636" s="77">
        <v>0.8</v>
      </c>
      <c r="H1636" s="139">
        <v>18.75</v>
      </c>
      <c r="I1636" s="140">
        <f t="shared" ref="I1636:I1637" si="128">F1636*G1636*H1636</f>
        <v>15</v>
      </c>
    </row>
    <row r="1637" spans="1:9" ht="14.4" thickBot="1" x14ac:dyDescent="0.3">
      <c r="B1637" s="166">
        <v>88316</v>
      </c>
      <c r="C1637" s="151" t="s">
        <v>1</v>
      </c>
      <c r="D1637" s="84" t="s">
        <v>43</v>
      </c>
      <c r="E1637" s="75" t="s">
        <v>2</v>
      </c>
      <c r="F1637" s="140">
        <v>1</v>
      </c>
      <c r="G1637" s="77">
        <v>0.3</v>
      </c>
      <c r="H1637" s="139">
        <v>15.16</v>
      </c>
      <c r="I1637" s="140">
        <f t="shared" si="128"/>
        <v>4.548</v>
      </c>
    </row>
    <row r="1638" spans="1:9" ht="14.4" thickBot="1" x14ac:dyDescent="0.3">
      <c r="B1638" s="328" t="s">
        <v>29</v>
      </c>
      <c r="C1638" s="328"/>
      <c r="D1638" s="328"/>
      <c r="E1638" s="328"/>
      <c r="F1638" s="328"/>
      <c r="G1638" s="328"/>
      <c r="H1638" s="328"/>
      <c r="I1638" s="296">
        <f>SUM(I1630:I1637)</f>
        <v>539.23410000000001</v>
      </c>
    </row>
    <row r="1639" spans="1:9" x14ac:dyDescent="0.25">
      <c r="B1639" s="166"/>
      <c r="C1639" s="223" t="s">
        <v>30</v>
      </c>
      <c r="D1639" s="90" t="s">
        <v>948</v>
      </c>
      <c r="E1639" s="75"/>
      <c r="F1639" s="75"/>
      <c r="G1639" s="85"/>
      <c r="H1639" s="139"/>
      <c r="I1639" s="293"/>
    </row>
    <row r="1640" spans="1:9" x14ac:dyDescent="0.25">
      <c r="B1640" s="166"/>
      <c r="C1640" s="223"/>
      <c r="E1640" s="75"/>
      <c r="F1640" s="75"/>
      <c r="G1640" s="85"/>
      <c r="H1640" s="139"/>
      <c r="I1640" s="295"/>
    </row>
    <row r="1641" spans="1:9" ht="14.4" thickBot="1" x14ac:dyDescent="0.3">
      <c r="B1641" s="166"/>
      <c r="C1641" s="223"/>
      <c r="E1641" s="75"/>
      <c r="F1641" s="75"/>
      <c r="G1641" s="85"/>
      <c r="H1641" s="139"/>
      <c r="I1641" s="292"/>
    </row>
    <row r="1642" spans="1:9" ht="14.4" thickBot="1" x14ac:dyDescent="0.3">
      <c r="B1642" s="330" t="s">
        <v>18</v>
      </c>
      <c r="C1642" s="330"/>
      <c r="D1642" s="331" t="s">
        <v>19</v>
      </c>
      <c r="E1642" s="331"/>
      <c r="F1642" s="331"/>
      <c r="G1642" s="331"/>
      <c r="H1642" s="331"/>
      <c r="I1642" s="83" t="s">
        <v>20</v>
      </c>
    </row>
    <row r="1643" spans="1:9" ht="14.4" thickBot="1" x14ac:dyDescent="0.3">
      <c r="B1643" s="333" t="s">
        <v>1133</v>
      </c>
      <c r="C1643" s="333"/>
      <c r="D1643" s="338" t="s">
        <v>1134</v>
      </c>
      <c r="E1643" s="338"/>
      <c r="F1643" s="338"/>
      <c r="G1643" s="338"/>
      <c r="H1643" s="338"/>
      <c r="I1643" s="80" t="s">
        <v>472</v>
      </c>
    </row>
    <row r="1644" spans="1:9" ht="14.4" thickBot="1" x14ac:dyDescent="0.3">
      <c r="B1644" s="328" t="s">
        <v>21</v>
      </c>
      <c r="C1644" s="328"/>
      <c r="D1644" s="141"/>
      <c r="E1644" s="226" t="s">
        <v>22</v>
      </c>
      <c r="F1644" s="226" t="s">
        <v>23</v>
      </c>
      <c r="G1644" s="88" t="s">
        <v>24</v>
      </c>
      <c r="H1644" s="89" t="s">
        <v>25</v>
      </c>
      <c r="I1644" s="83" t="s">
        <v>26</v>
      </c>
    </row>
    <row r="1645" spans="1:9" x14ac:dyDescent="0.25">
      <c r="B1645" s="166"/>
      <c r="C1645" s="151" t="s">
        <v>206</v>
      </c>
      <c r="D1645" s="84" t="s">
        <v>1136</v>
      </c>
      <c r="E1645" s="75" t="s">
        <v>8</v>
      </c>
      <c r="F1645" s="140">
        <f>1/6</f>
        <v>0.16666666666666666</v>
      </c>
      <c r="G1645" s="77">
        <f>(5+5+2+2+2+2+2+3.1+3.1)</f>
        <v>26.200000000000003</v>
      </c>
      <c r="H1645" s="139">
        <v>343.9</v>
      </c>
      <c r="I1645" s="140">
        <f t="shared" ref="I1645:I1648" si="129">F1645*G1645*H1645</f>
        <v>1501.6966666666667</v>
      </c>
    </row>
    <row r="1646" spans="1:9" x14ac:dyDescent="0.25">
      <c r="B1646" s="166">
        <v>8855</v>
      </c>
      <c r="C1646" s="151" t="s">
        <v>9</v>
      </c>
      <c r="D1646" s="84" t="s">
        <v>1137</v>
      </c>
      <c r="E1646" s="75" t="s">
        <v>22</v>
      </c>
      <c r="F1646" s="140">
        <v>1</v>
      </c>
      <c r="G1646" s="77">
        <v>3</v>
      </c>
      <c r="H1646" s="139">
        <v>65.099999999999994</v>
      </c>
      <c r="I1646" s="140">
        <f t="shared" si="129"/>
        <v>195.29999999999998</v>
      </c>
    </row>
    <row r="1647" spans="1:9" ht="20.399999999999999" x14ac:dyDescent="0.25">
      <c r="B1647" s="166">
        <v>7933</v>
      </c>
      <c r="C1647" s="151" t="s">
        <v>9</v>
      </c>
      <c r="D1647" s="84" t="s">
        <v>1139</v>
      </c>
      <c r="E1647" s="75" t="s">
        <v>1138</v>
      </c>
      <c r="F1647" s="140">
        <v>1</v>
      </c>
      <c r="G1647" s="77">
        <f>500/103</f>
        <v>4.8543689320388346</v>
      </c>
      <c r="H1647" s="139">
        <v>1235.1400000000001</v>
      </c>
      <c r="I1647" s="140">
        <f t="shared" si="129"/>
        <v>5995.825242718447</v>
      </c>
    </row>
    <row r="1648" spans="1:9" ht="14.4" thickBot="1" x14ac:dyDescent="0.3">
      <c r="B1648" s="166">
        <v>11002</v>
      </c>
      <c r="C1648" s="151" t="s">
        <v>1</v>
      </c>
      <c r="D1648" s="84" t="s">
        <v>1144</v>
      </c>
      <c r="E1648" s="75" t="s">
        <v>82</v>
      </c>
      <c r="F1648" s="140">
        <v>1</v>
      </c>
      <c r="G1648" s="77">
        <f>0.124*G1645</f>
        <v>3.2488000000000001</v>
      </c>
      <c r="H1648" s="139">
        <v>27.51</v>
      </c>
      <c r="I1648" s="140">
        <f t="shared" si="129"/>
        <v>89.374488000000014</v>
      </c>
    </row>
    <row r="1649" spans="2:9" ht="14.4" thickBot="1" x14ac:dyDescent="0.3">
      <c r="B1649" s="328" t="s">
        <v>27</v>
      </c>
      <c r="C1649" s="328"/>
      <c r="D1649" s="141"/>
      <c r="E1649" s="226" t="s">
        <v>22</v>
      </c>
      <c r="F1649" s="226" t="s">
        <v>23</v>
      </c>
      <c r="G1649" s="88" t="s">
        <v>24</v>
      </c>
      <c r="H1649" s="89" t="s">
        <v>25</v>
      </c>
      <c r="I1649" s="83" t="s">
        <v>26</v>
      </c>
    </row>
    <row r="1650" spans="2:9" ht="20.399999999999999" x14ac:dyDescent="0.25">
      <c r="B1650" s="166">
        <v>100722</v>
      </c>
      <c r="C1650" s="151" t="s">
        <v>1</v>
      </c>
      <c r="D1650" s="84" t="s">
        <v>1140</v>
      </c>
      <c r="E1650" s="75" t="s">
        <v>37</v>
      </c>
      <c r="F1650" s="140">
        <v>1</v>
      </c>
      <c r="G1650" s="77">
        <f>G1645*(0.06*0.4)</f>
        <v>0.62880000000000014</v>
      </c>
      <c r="H1650" s="139">
        <v>17.11</v>
      </c>
      <c r="I1650" s="140">
        <f>F1650*G1650*H1650</f>
        <v>10.758768000000002</v>
      </c>
    </row>
    <row r="1651" spans="2:9" ht="21" thickBot="1" x14ac:dyDescent="0.3">
      <c r="B1651" s="166">
        <v>100746</v>
      </c>
      <c r="C1651" s="151" t="s">
        <v>1</v>
      </c>
      <c r="D1651" s="84" t="s">
        <v>1141</v>
      </c>
      <c r="E1651" s="75" t="s">
        <v>37</v>
      </c>
      <c r="F1651" s="140">
        <v>1</v>
      </c>
      <c r="G1651" s="77">
        <f>(G1650*2)</f>
        <v>1.2576000000000003</v>
      </c>
      <c r="H1651" s="139">
        <v>17.39</v>
      </c>
      <c r="I1651" s="140">
        <f t="shared" ref="I1651" si="130">F1651*G1651*H1651</f>
        <v>21.869664000000004</v>
      </c>
    </row>
    <row r="1652" spans="2:9" ht="14.4" thickBot="1" x14ac:dyDescent="0.3">
      <c r="B1652" s="328" t="s">
        <v>28</v>
      </c>
      <c r="C1652" s="328"/>
      <c r="D1652" s="141"/>
      <c r="E1652" s="226" t="s">
        <v>22</v>
      </c>
      <c r="F1652" s="226" t="s">
        <v>23</v>
      </c>
      <c r="G1652" s="88" t="s">
        <v>24</v>
      </c>
      <c r="H1652" s="89" t="s">
        <v>25</v>
      </c>
      <c r="I1652" s="83" t="s">
        <v>26</v>
      </c>
    </row>
    <row r="1653" spans="2:9" x14ac:dyDescent="0.25">
      <c r="B1653" s="166">
        <v>88315</v>
      </c>
      <c r="C1653" s="151" t="s">
        <v>1</v>
      </c>
      <c r="D1653" s="84" t="s">
        <v>722</v>
      </c>
      <c r="E1653" s="75" t="s">
        <v>2</v>
      </c>
      <c r="F1653" s="140">
        <v>1</v>
      </c>
      <c r="G1653" s="77">
        <v>20.28</v>
      </c>
      <c r="H1653" s="139">
        <v>18.75</v>
      </c>
      <c r="I1653" s="140">
        <f>F1653*G1653*H1653</f>
        <v>380.25</v>
      </c>
    </row>
    <row r="1654" spans="2:9" x14ac:dyDescent="0.25">
      <c r="B1654" s="166">
        <v>88316</v>
      </c>
      <c r="C1654" s="151" t="s">
        <v>1</v>
      </c>
      <c r="D1654" s="84" t="s">
        <v>43</v>
      </c>
      <c r="E1654" s="75" t="s">
        <v>2</v>
      </c>
      <c r="F1654" s="140">
        <v>1</v>
      </c>
      <c r="G1654" s="77">
        <v>20.28</v>
      </c>
      <c r="H1654" s="139">
        <v>15.16</v>
      </c>
      <c r="I1654" s="140">
        <f>F1654*G1654*H1654</f>
        <v>307.44480000000004</v>
      </c>
    </row>
    <row r="1655" spans="2:9" ht="14.4" thickBot="1" x14ac:dyDescent="0.3">
      <c r="B1655" s="166">
        <v>88317</v>
      </c>
      <c r="C1655" s="151" t="s">
        <v>1</v>
      </c>
      <c r="D1655" s="84" t="s">
        <v>1142</v>
      </c>
      <c r="E1655" s="75" t="s">
        <v>2</v>
      </c>
      <c r="F1655" s="140">
        <v>1</v>
      </c>
      <c r="G1655" s="77">
        <f>0.33*G1645</f>
        <v>8.6460000000000008</v>
      </c>
      <c r="H1655" s="139">
        <v>19.57</v>
      </c>
      <c r="I1655" s="140">
        <f>F1655*G1655*H1655</f>
        <v>169.20222000000001</v>
      </c>
    </row>
    <row r="1656" spans="2:9" ht="14.4" thickBot="1" x14ac:dyDescent="0.3">
      <c r="B1656" s="328" t="s">
        <v>29</v>
      </c>
      <c r="C1656" s="328"/>
      <c r="D1656" s="328"/>
      <c r="E1656" s="328"/>
      <c r="F1656" s="328"/>
      <c r="G1656" s="328"/>
      <c r="H1656" s="328"/>
      <c r="I1656" s="296">
        <f>SUM(I1645:I1655)</f>
        <v>8671.7218493851124</v>
      </c>
    </row>
    <row r="1657" spans="2:9" x14ac:dyDescent="0.25">
      <c r="B1657" s="166"/>
      <c r="C1657" s="223" t="s">
        <v>30</v>
      </c>
      <c r="D1657" s="90" t="s">
        <v>1143</v>
      </c>
      <c r="E1657" s="75"/>
      <c r="F1657" s="75"/>
      <c r="G1657" s="85"/>
      <c r="H1657" s="139"/>
      <c r="I1657" s="293"/>
    </row>
    <row r="1658" spans="2:9" x14ac:dyDescent="0.25">
      <c r="B1658" s="166"/>
      <c r="C1658" s="223"/>
      <c r="E1658" s="75"/>
      <c r="F1658" s="75"/>
      <c r="G1658" s="85"/>
      <c r="H1658" s="139"/>
      <c r="I1658" s="295"/>
    </row>
    <row r="1659" spans="2:9" ht="14.4" thickBot="1" x14ac:dyDescent="0.3">
      <c r="B1659" s="166"/>
      <c r="C1659" s="223"/>
      <c r="D1659" s="90" t="s">
        <v>1091</v>
      </c>
      <c r="E1659" s="75"/>
      <c r="F1659" s="75"/>
      <c r="G1659" s="85"/>
      <c r="H1659" s="139"/>
      <c r="I1659" s="292"/>
    </row>
    <row r="1660" spans="2:9" ht="14.4" thickBot="1" x14ac:dyDescent="0.3">
      <c r="B1660" s="330" t="s">
        <v>18</v>
      </c>
      <c r="C1660" s="330"/>
      <c r="D1660" s="331" t="s">
        <v>19</v>
      </c>
      <c r="E1660" s="331"/>
      <c r="F1660" s="331"/>
      <c r="G1660" s="331"/>
      <c r="H1660" s="331"/>
      <c r="I1660" s="83" t="s">
        <v>20</v>
      </c>
    </row>
    <row r="1661" spans="2:9" ht="14.4" thickBot="1" x14ac:dyDescent="0.3">
      <c r="B1661" s="333" t="s">
        <v>1145</v>
      </c>
      <c r="C1661" s="333"/>
      <c r="D1661" s="338" t="s">
        <v>1146</v>
      </c>
      <c r="E1661" s="338"/>
      <c r="F1661" s="338"/>
      <c r="G1661" s="338"/>
      <c r="H1661" s="338"/>
      <c r="I1661" s="80" t="s">
        <v>472</v>
      </c>
    </row>
    <row r="1662" spans="2:9" ht="14.4" thickBot="1" x14ac:dyDescent="0.3">
      <c r="B1662" s="328" t="s">
        <v>21</v>
      </c>
      <c r="C1662" s="328"/>
      <c r="D1662" s="141"/>
      <c r="E1662" s="157" t="s">
        <v>22</v>
      </c>
      <c r="F1662" s="157" t="s">
        <v>23</v>
      </c>
      <c r="G1662" s="88" t="s">
        <v>24</v>
      </c>
      <c r="H1662" s="89" t="s">
        <v>25</v>
      </c>
      <c r="I1662" s="157" t="s">
        <v>26</v>
      </c>
    </row>
    <row r="1663" spans="2:9" x14ac:dyDescent="0.25">
      <c r="B1663" s="162">
        <v>1558</v>
      </c>
      <c r="C1663" s="151" t="s">
        <v>9</v>
      </c>
      <c r="D1663" s="84" t="s">
        <v>1132</v>
      </c>
      <c r="E1663" s="75" t="s">
        <v>80</v>
      </c>
      <c r="F1663" s="140">
        <v>1</v>
      </c>
      <c r="G1663" s="77">
        <f>2*(3*0.2*0.2)</f>
        <v>0.24000000000000005</v>
      </c>
      <c r="H1663" s="139">
        <v>3296</v>
      </c>
      <c r="I1663" s="140">
        <f t="shared" ref="I1663:I1664" si="131">F1663*G1663*H1663</f>
        <v>791.04000000000019</v>
      </c>
    </row>
    <row r="1664" spans="2:9" x14ac:dyDescent="0.25">
      <c r="B1664" s="162">
        <v>13356</v>
      </c>
      <c r="C1664" s="151" t="s">
        <v>1</v>
      </c>
      <c r="D1664" s="84" t="s">
        <v>1149</v>
      </c>
      <c r="E1664" s="75" t="s">
        <v>8</v>
      </c>
      <c r="F1664" s="140">
        <v>1</v>
      </c>
      <c r="G1664" s="77">
        <f>4*4.5</f>
        <v>18</v>
      </c>
      <c r="H1664" s="139">
        <v>24.69</v>
      </c>
      <c r="I1664" s="140">
        <f t="shared" si="131"/>
        <v>444.42</v>
      </c>
    </row>
    <row r="1665" spans="2:9" ht="20.399999999999999" x14ac:dyDescent="0.25">
      <c r="B1665" s="162">
        <v>7933</v>
      </c>
      <c r="C1665" s="151" t="s">
        <v>9</v>
      </c>
      <c r="D1665" s="84" t="s">
        <v>1139</v>
      </c>
      <c r="E1665" s="75" t="s">
        <v>1138</v>
      </c>
      <c r="F1665" s="140">
        <v>1</v>
      </c>
      <c r="G1665" s="77">
        <v>3</v>
      </c>
      <c r="H1665" s="139">
        <v>1235.1400000000001</v>
      </c>
      <c r="I1665" s="140">
        <f t="shared" ref="I1665:I1667" si="132">F1665*G1665*H1665</f>
        <v>3705.42</v>
      </c>
    </row>
    <row r="1666" spans="2:9" x14ac:dyDescent="0.25">
      <c r="B1666" s="162">
        <v>11002</v>
      </c>
      <c r="C1666" s="151" t="s">
        <v>1</v>
      </c>
      <c r="D1666" s="84" t="s">
        <v>1144</v>
      </c>
      <c r="E1666" s="75" t="s">
        <v>82</v>
      </c>
      <c r="F1666" s="140">
        <v>1</v>
      </c>
      <c r="G1666" s="77">
        <f>0.124*G1664</f>
        <v>2.2320000000000002</v>
      </c>
      <c r="H1666" s="139">
        <v>27.51</v>
      </c>
      <c r="I1666" s="140">
        <f t="shared" si="132"/>
        <v>61.40232000000001</v>
      </c>
    </row>
    <row r="1667" spans="2:9" ht="31.2" thickBot="1" x14ac:dyDescent="0.3">
      <c r="B1667" s="162">
        <v>3106</v>
      </c>
      <c r="C1667" s="151" t="s">
        <v>1</v>
      </c>
      <c r="D1667" s="84" t="s">
        <v>1150</v>
      </c>
      <c r="E1667" s="75" t="s">
        <v>22</v>
      </c>
      <c r="F1667" s="140">
        <v>1</v>
      </c>
      <c r="G1667" s="77">
        <v>2</v>
      </c>
      <c r="H1667" s="139">
        <v>16.73</v>
      </c>
      <c r="I1667" s="140">
        <f t="shared" si="132"/>
        <v>33.46</v>
      </c>
    </row>
    <row r="1668" spans="2:9" ht="14.4" thickBot="1" x14ac:dyDescent="0.3">
      <c r="B1668" s="328" t="s">
        <v>27</v>
      </c>
      <c r="C1668" s="328"/>
      <c r="D1668" s="141"/>
      <c r="E1668" s="157" t="s">
        <v>22</v>
      </c>
      <c r="F1668" s="157" t="s">
        <v>23</v>
      </c>
      <c r="G1668" s="88" t="s">
        <v>24</v>
      </c>
      <c r="H1668" s="89" t="s">
        <v>25</v>
      </c>
      <c r="I1668" s="157" t="s">
        <v>26</v>
      </c>
    </row>
    <row r="1669" spans="2:9" ht="20.399999999999999" x14ac:dyDescent="0.25">
      <c r="B1669" s="162">
        <v>96522</v>
      </c>
      <c r="C1669" s="151" t="s">
        <v>1</v>
      </c>
      <c r="D1669" s="84" t="s">
        <v>1012</v>
      </c>
      <c r="E1669" s="75" t="s">
        <v>80</v>
      </c>
      <c r="F1669" s="140">
        <v>1</v>
      </c>
      <c r="G1669" s="77">
        <f>(0.45*0.45*0.6)*2</f>
        <v>0.24299999999999999</v>
      </c>
      <c r="H1669" s="139">
        <v>107.38</v>
      </c>
      <c r="I1669" s="140">
        <f t="shared" ref="I1669:I1671" si="133">F1669*G1669*H1669</f>
        <v>26.093339999999998</v>
      </c>
    </row>
    <row r="1670" spans="2:9" ht="20.399999999999999" x14ac:dyDescent="0.25">
      <c r="B1670" s="162">
        <v>96531</v>
      </c>
      <c r="C1670" s="151" t="s">
        <v>1</v>
      </c>
      <c r="D1670" s="84" t="s">
        <v>1129</v>
      </c>
      <c r="E1670" s="75" t="s">
        <v>37</v>
      </c>
      <c r="F1670" s="140">
        <v>1</v>
      </c>
      <c r="G1670" s="77">
        <f>(0.45+0.45+0.45+0.45)*0.05*2</f>
        <v>0.18000000000000002</v>
      </c>
      <c r="H1670" s="139">
        <v>102.05</v>
      </c>
      <c r="I1670" s="140">
        <f t="shared" si="133"/>
        <v>18.369000000000003</v>
      </c>
    </row>
    <row r="1671" spans="2:9" ht="20.399999999999999" x14ac:dyDescent="0.25">
      <c r="B1671" s="162">
        <v>94964</v>
      </c>
      <c r="C1671" s="151" t="s">
        <v>1</v>
      </c>
      <c r="D1671" s="84" t="s">
        <v>981</v>
      </c>
      <c r="E1671" s="75" t="s">
        <v>80</v>
      </c>
      <c r="F1671" s="140">
        <v>1</v>
      </c>
      <c r="G1671" s="77">
        <f>(0.45*0.45*0.6)*2</f>
        <v>0.24299999999999999</v>
      </c>
      <c r="H1671" s="139">
        <v>407.4</v>
      </c>
      <c r="I1671" s="140">
        <f t="shared" si="133"/>
        <v>98.998199999999997</v>
      </c>
    </row>
    <row r="1672" spans="2:9" ht="20.399999999999999" x14ac:dyDescent="0.25">
      <c r="B1672" s="162">
        <v>100722</v>
      </c>
      <c r="C1672" s="151" t="s">
        <v>1</v>
      </c>
      <c r="D1672" s="84" t="s">
        <v>1140</v>
      </c>
      <c r="E1672" s="75" t="s">
        <v>37</v>
      </c>
      <c r="F1672" s="140">
        <v>1</v>
      </c>
      <c r="G1672" s="77">
        <f>G1664*(0.06*0.4)</f>
        <v>0.432</v>
      </c>
      <c r="H1672" s="139">
        <v>17.11</v>
      </c>
      <c r="I1672" s="140">
        <f>F1672*G1672*H1672</f>
        <v>7.3915199999999999</v>
      </c>
    </row>
    <row r="1673" spans="2:9" ht="21" thickBot="1" x14ac:dyDescent="0.3">
      <c r="B1673" s="225">
        <v>100746</v>
      </c>
      <c r="C1673" s="151" t="s">
        <v>1</v>
      </c>
      <c r="D1673" s="84" t="s">
        <v>1141</v>
      </c>
      <c r="E1673" s="75" t="s">
        <v>37</v>
      </c>
      <c r="F1673" s="140">
        <v>1</v>
      </c>
      <c r="G1673" s="77">
        <f>(G1672*2)</f>
        <v>0.86399999999999999</v>
      </c>
      <c r="H1673" s="139">
        <v>17.39</v>
      </c>
      <c r="I1673" s="140">
        <f t="shared" ref="I1673" si="134">F1673*G1673*H1673</f>
        <v>15.02496</v>
      </c>
    </row>
    <row r="1674" spans="2:9" ht="14.4" thickBot="1" x14ac:dyDescent="0.3">
      <c r="B1674" s="328" t="s">
        <v>28</v>
      </c>
      <c r="C1674" s="328"/>
      <c r="D1674" s="159"/>
      <c r="E1674" s="157" t="s">
        <v>22</v>
      </c>
      <c r="F1674" s="157" t="s">
        <v>23</v>
      </c>
      <c r="G1674" s="88" t="s">
        <v>24</v>
      </c>
      <c r="H1674" s="89" t="s">
        <v>25</v>
      </c>
      <c r="I1674" s="157" t="s">
        <v>26</v>
      </c>
    </row>
    <row r="1675" spans="2:9" x14ac:dyDescent="0.25">
      <c r="B1675" s="156">
        <v>88315</v>
      </c>
      <c r="C1675" s="151" t="s">
        <v>1</v>
      </c>
      <c r="D1675" s="84" t="s">
        <v>722</v>
      </c>
      <c r="E1675" s="75" t="s">
        <v>2</v>
      </c>
      <c r="F1675" s="140">
        <v>1</v>
      </c>
      <c r="G1675" s="77">
        <v>20.28</v>
      </c>
      <c r="H1675" s="139">
        <v>18.75</v>
      </c>
      <c r="I1675" s="140">
        <f>F1675*G1675*H1675</f>
        <v>380.25</v>
      </c>
    </row>
    <row r="1676" spans="2:9" x14ac:dyDescent="0.25">
      <c r="B1676" s="166">
        <v>88316</v>
      </c>
      <c r="C1676" s="151" t="s">
        <v>1</v>
      </c>
      <c r="D1676" s="84" t="s">
        <v>43</v>
      </c>
      <c r="E1676" s="75" t="s">
        <v>2</v>
      </c>
      <c r="F1676" s="140">
        <v>1</v>
      </c>
      <c r="G1676" s="77">
        <v>20.28</v>
      </c>
      <c r="H1676" s="139">
        <v>15.16</v>
      </c>
      <c r="I1676" s="140">
        <f>F1676*G1676*H1676</f>
        <v>307.44480000000004</v>
      </c>
    </row>
    <row r="1677" spans="2:9" ht="14.4" thickBot="1" x14ac:dyDescent="0.3">
      <c r="B1677" s="151">
        <v>88317</v>
      </c>
      <c r="C1677" s="151" t="s">
        <v>1</v>
      </c>
      <c r="D1677" s="84" t="s">
        <v>1142</v>
      </c>
      <c r="E1677" s="75" t="s">
        <v>2</v>
      </c>
      <c r="F1677" s="140">
        <v>1</v>
      </c>
      <c r="G1677" s="77">
        <f>0.33*G1664</f>
        <v>5.94</v>
      </c>
      <c r="H1677" s="139">
        <v>19.57</v>
      </c>
      <c r="I1677" s="140">
        <f>F1677*G1677*H1677</f>
        <v>116.2458</v>
      </c>
    </row>
    <row r="1678" spans="2:9" ht="14.4" thickBot="1" x14ac:dyDescent="0.3">
      <c r="B1678" s="328" t="s">
        <v>29</v>
      </c>
      <c r="C1678" s="328"/>
      <c r="D1678" s="328"/>
      <c r="E1678" s="328"/>
      <c r="F1678" s="328"/>
      <c r="G1678" s="328"/>
      <c r="H1678" s="328"/>
      <c r="I1678" s="142">
        <f>SUM(I1663:I1677)</f>
        <v>6005.5599400000001</v>
      </c>
    </row>
    <row r="1679" spans="2:9" x14ac:dyDescent="0.25">
      <c r="B1679" s="166"/>
      <c r="C1679" s="223" t="s">
        <v>30</v>
      </c>
      <c r="D1679" s="90" t="s">
        <v>1143</v>
      </c>
      <c r="E1679" s="75"/>
      <c r="F1679" s="75"/>
      <c r="G1679" s="86"/>
      <c r="H1679" s="139"/>
      <c r="I1679" s="140"/>
    </row>
    <row r="1681" spans="2:9" ht="14.4" thickBot="1" x14ac:dyDescent="0.3"/>
    <row r="1682" spans="2:9" ht="14.4" thickBot="1" x14ac:dyDescent="0.3">
      <c r="B1682" s="330" t="s">
        <v>18</v>
      </c>
      <c r="C1682" s="330"/>
      <c r="D1682" s="331" t="s">
        <v>19</v>
      </c>
      <c r="E1682" s="331"/>
      <c r="F1682" s="331"/>
      <c r="G1682" s="331"/>
      <c r="H1682" s="331"/>
      <c r="I1682" s="83" t="s">
        <v>20</v>
      </c>
    </row>
    <row r="1683" spans="2:9" ht="14.4" thickBot="1" x14ac:dyDescent="0.3">
      <c r="B1683" s="333" t="s">
        <v>1151</v>
      </c>
      <c r="C1683" s="333"/>
      <c r="D1683" s="338" t="s">
        <v>1146</v>
      </c>
      <c r="E1683" s="338"/>
      <c r="F1683" s="338"/>
      <c r="G1683" s="338"/>
      <c r="H1683" s="338"/>
      <c r="I1683" s="80" t="s">
        <v>472</v>
      </c>
    </row>
    <row r="1684" spans="2:9" ht="14.4" thickBot="1" x14ac:dyDescent="0.3">
      <c r="B1684" s="328" t="s">
        <v>21</v>
      </c>
      <c r="C1684" s="328"/>
      <c r="D1684" s="141"/>
      <c r="E1684" s="157" t="s">
        <v>22</v>
      </c>
      <c r="F1684" s="157" t="s">
        <v>23</v>
      </c>
      <c r="G1684" s="88" t="s">
        <v>24</v>
      </c>
      <c r="H1684" s="89" t="s">
        <v>25</v>
      </c>
      <c r="I1684" s="157" t="s">
        <v>26</v>
      </c>
    </row>
    <row r="1685" spans="2:9" x14ac:dyDescent="0.25">
      <c r="B1685" s="162">
        <v>1558</v>
      </c>
      <c r="C1685" s="151" t="s">
        <v>9</v>
      </c>
      <c r="D1685" s="84" t="s">
        <v>1132</v>
      </c>
      <c r="E1685" s="75" t="s">
        <v>80</v>
      </c>
      <c r="F1685" s="140">
        <v>1</v>
      </c>
      <c r="G1685" s="77">
        <f>2*(3*0.2*0.2)</f>
        <v>0.24000000000000005</v>
      </c>
      <c r="H1685" s="139">
        <v>3296</v>
      </c>
      <c r="I1685" s="140">
        <f t="shared" ref="I1685:I1689" si="135">F1685*G1685*H1685</f>
        <v>791.04000000000019</v>
      </c>
    </row>
    <row r="1686" spans="2:9" x14ac:dyDescent="0.25">
      <c r="B1686" s="162">
        <v>13356</v>
      </c>
      <c r="C1686" s="151" t="s">
        <v>1</v>
      </c>
      <c r="D1686" s="84" t="s">
        <v>1149</v>
      </c>
      <c r="E1686" s="75" t="s">
        <v>8</v>
      </c>
      <c r="F1686" s="140">
        <v>1</v>
      </c>
      <c r="G1686" s="77">
        <f>4*4.5</f>
        <v>18</v>
      </c>
      <c r="H1686" s="139">
        <v>24.69</v>
      </c>
      <c r="I1686" s="140">
        <f t="shared" si="135"/>
        <v>444.42</v>
      </c>
    </row>
    <row r="1687" spans="2:9" ht="20.399999999999999" x14ac:dyDescent="0.25">
      <c r="B1687" s="162">
        <v>7933</v>
      </c>
      <c r="C1687" s="151" t="s">
        <v>9</v>
      </c>
      <c r="D1687" s="84" t="s">
        <v>1139</v>
      </c>
      <c r="E1687" s="75" t="s">
        <v>1138</v>
      </c>
      <c r="F1687" s="140">
        <v>1</v>
      </c>
      <c r="G1687" s="77">
        <v>3</v>
      </c>
      <c r="H1687" s="139">
        <v>1235.1400000000001</v>
      </c>
      <c r="I1687" s="140">
        <f t="shared" si="135"/>
        <v>3705.42</v>
      </c>
    </row>
    <row r="1688" spans="2:9" x14ac:dyDescent="0.25">
      <c r="B1688" s="162">
        <v>11002</v>
      </c>
      <c r="C1688" s="151" t="s">
        <v>1</v>
      </c>
      <c r="D1688" s="84" t="s">
        <v>1144</v>
      </c>
      <c r="E1688" s="75" t="s">
        <v>82</v>
      </c>
      <c r="F1688" s="140">
        <v>1</v>
      </c>
      <c r="G1688" s="77">
        <f>0.124*G1686</f>
        <v>2.2320000000000002</v>
      </c>
      <c r="H1688" s="139">
        <v>27.51</v>
      </c>
      <c r="I1688" s="140">
        <f t="shared" si="135"/>
        <v>61.40232000000001</v>
      </c>
    </row>
    <row r="1689" spans="2:9" ht="31.2" thickBot="1" x14ac:dyDescent="0.3">
      <c r="B1689" s="162">
        <v>3106</v>
      </c>
      <c r="C1689" s="151" t="s">
        <v>1</v>
      </c>
      <c r="D1689" s="84" t="s">
        <v>1150</v>
      </c>
      <c r="E1689" s="75" t="s">
        <v>22</v>
      </c>
      <c r="F1689" s="140">
        <v>1</v>
      </c>
      <c r="G1689" s="77">
        <v>2</v>
      </c>
      <c r="H1689" s="139">
        <v>16.73</v>
      </c>
      <c r="I1689" s="140">
        <f t="shared" si="135"/>
        <v>33.46</v>
      </c>
    </row>
    <row r="1690" spans="2:9" ht="14.4" thickBot="1" x14ac:dyDescent="0.3">
      <c r="B1690" s="328" t="s">
        <v>27</v>
      </c>
      <c r="C1690" s="328"/>
      <c r="D1690" s="141"/>
      <c r="E1690" s="157" t="s">
        <v>22</v>
      </c>
      <c r="F1690" s="157" t="s">
        <v>23</v>
      </c>
      <c r="G1690" s="88" t="s">
        <v>24</v>
      </c>
      <c r="H1690" s="89" t="s">
        <v>25</v>
      </c>
      <c r="I1690" s="157" t="s">
        <v>26</v>
      </c>
    </row>
    <row r="1691" spans="2:9" ht="20.399999999999999" x14ac:dyDescent="0.25">
      <c r="B1691" s="162">
        <v>96522</v>
      </c>
      <c r="C1691" s="151" t="s">
        <v>1</v>
      </c>
      <c r="D1691" s="84" t="s">
        <v>1012</v>
      </c>
      <c r="E1691" s="75" t="s">
        <v>80</v>
      </c>
      <c r="F1691" s="140">
        <v>1</v>
      </c>
      <c r="G1691" s="77">
        <f>(0.45*0.45*0.6)*2</f>
        <v>0.24299999999999999</v>
      </c>
      <c r="H1691" s="139">
        <v>107.38</v>
      </c>
      <c r="I1691" s="140">
        <f t="shared" ref="I1691:I1693" si="136">F1691*G1691*H1691</f>
        <v>26.093339999999998</v>
      </c>
    </row>
    <row r="1692" spans="2:9" ht="20.399999999999999" x14ac:dyDescent="0.25">
      <c r="B1692" s="162">
        <v>96531</v>
      </c>
      <c r="C1692" s="151" t="s">
        <v>1</v>
      </c>
      <c r="D1692" s="84" t="s">
        <v>1129</v>
      </c>
      <c r="E1692" s="75" t="s">
        <v>37</v>
      </c>
      <c r="F1692" s="140">
        <v>1</v>
      </c>
      <c r="G1692" s="77">
        <f>(0.45+0.45+0.45+0.45)*0.05*2</f>
        <v>0.18000000000000002</v>
      </c>
      <c r="H1692" s="139">
        <v>102.05</v>
      </c>
      <c r="I1692" s="140">
        <f t="shared" si="136"/>
        <v>18.369000000000003</v>
      </c>
    </row>
    <row r="1693" spans="2:9" ht="20.399999999999999" x14ac:dyDescent="0.25">
      <c r="B1693" s="162">
        <v>94964</v>
      </c>
      <c r="C1693" s="151" t="s">
        <v>1</v>
      </c>
      <c r="D1693" s="84" t="s">
        <v>981</v>
      </c>
      <c r="E1693" s="75" t="s">
        <v>80</v>
      </c>
      <c r="F1693" s="140">
        <v>1</v>
      </c>
      <c r="G1693" s="77">
        <f>(0.45*0.45*0.6)*2</f>
        <v>0.24299999999999999</v>
      </c>
      <c r="H1693" s="139">
        <v>407.4</v>
      </c>
      <c r="I1693" s="140">
        <f t="shared" si="136"/>
        <v>98.998199999999997</v>
      </c>
    </row>
    <row r="1694" spans="2:9" ht="20.399999999999999" x14ac:dyDescent="0.25">
      <c r="B1694" s="162">
        <v>100722</v>
      </c>
      <c r="C1694" s="151" t="s">
        <v>1</v>
      </c>
      <c r="D1694" s="84" t="s">
        <v>1140</v>
      </c>
      <c r="E1694" s="75" t="s">
        <v>37</v>
      </c>
      <c r="F1694" s="140">
        <v>1</v>
      </c>
      <c r="G1694" s="77">
        <f>G1686*(0.06*0.4)</f>
        <v>0.432</v>
      </c>
      <c r="H1694" s="139">
        <v>17.11</v>
      </c>
      <c r="I1694" s="140">
        <f>F1694*G1694*H1694</f>
        <v>7.3915199999999999</v>
      </c>
    </row>
    <row r="1695" spans="2:9" ht="21" thickBot="1" x14ac:dyDescent="0.3">
      <c r="B1695" s="225">
        <v>100746</v>
      </c>
      <c r="C1695" s="151" t="s">
        <v>1</v>
      </c>
      <c r="D1695" s="84" t="s">
        <v>1141</v>
      </c>
      <c r="E1695" s="75" t="s">
        <v>37</v>
      </c>
      <c r="F1695" s="140">
        <v>1</v>
      </c>
      <c r="G1695" s="77">
        <f>(G1694*2)</f>
        <v>0.86399999999999999</v>
      </c>
      <c r="H1695" s="139">
        <v>17.39</v>
      </c>
      <c r="I1695" s="140">
        <f t="shared" ref="I1695" si="137">F1695*G1695*H1695</f>
        <v>15.02496</v>
      </c>
    </row>
    <row r="1696" spans="2:9" ht="14.4" thickBot="1" x14ac:dyDescent="0.3">
      <c r="B1696" s="328" t="s">
        <v>28</v>
      </c>
      <c r="C1696" s="328"/>
      <c r="D1696" s="159"/>
      <c r="E1696" s="157" t="s">
        <v>22</v>
      </c>
      <c r="F1696" s="157" t="s">
        <v>23</v>
      </c>
      <c r="G1696" s="88" t="s">
        <v>24</v>
      </c>
      <c r="H1696" s="89" t="s">
        <v>25</v>
      </c>
      <c r="I1696" s="157" t="s">
        <v>26</v>
      </c>
    </row>
    <row r="1697" spans="2:9" x14ac:dyDescent="0.25">
      <c r="B1697" s="156">
        <v>88315</v>
      </c>
      <c r="C1697" s="151" t="s">
        <v>1</v>
      </c>
      <c r="D1697" s="84" t="s">
        <v>722</v>
      </c>
      <c r="E1697" s="75" t="s">
        <v>2</v>
      </c>
      <c r="F1697" s="140">
        <v>1</v>
      </c>
      <c r="G1697" s="77">
        <v>20.28</v>
      </c>
      <c r="H1697" s="139">
        <v>18.75</v>
      </c>
      <c r="I1697" s="140">
        <f>F1697*G1697*H1697</f>
        <v>380.25</v>
      </c>
    </row>
    <row r="1698" spans="2:9" x14ac:dyDescent="0.25">
      <c r="B1698" s="166">
        <v>88316</v>
      </c>
      <c r="C1698" s="151" t="s">
        <v>1</v>
      </c>
      <c r="D1698" s="84" t="s">
        <v>43</v>
      </c>
      <c r="E1698" s="75" t="s">
        <v>2</v>
      </c>
      <c r="F1698" s="140">
        <v>1</v>
      </c>
      <c r="G1698" s="77">
        <v>20.28</v>
      </c>
      <c r="H1698" s="139">
        <v>15.16</v>
      </c>
      <c r="I1698" s="140">
        <f>F1698*G1698*H1698</f>
        <v>307.44480000000004</v>
      </c>
    </row>
    <row r="1699" spans="2:9" ht="14.4" thickBot="1" x14ac:dyDescent="0.3">
      <c r="B1699" s="151">
        <v>88317</v>
      </c>
      <c r="C1699" s="151" t="s">
        <v>1</v>
      </c>
      <c r="D1699" s="84" t="s">
        <v>1142</v>
      </c>
      <c r="E1699" s="75" t="s">
        <v>2</v>
      </c>
      <c r="F1699" s="140">
        <v>1</v>
      </c>
      <c r="G1699" s="77">
        <f>0.33*G1686</f>
        <v>5.94</v>
      </c>
      <c r="H1699" s="139">
        <v>19.57</v>
      </c>
      <c r="I1699" s="140">
        <f>F1699*G1699*H1699</f>
        <v>116.2458</v>
      </c>
    </row>
    <row r="1700" spans="2:9" ht="14.4" thickBot="1" x14ac:dyDescent="0.3">
      <c r="B1700" s="328" t="s">
        <v>29</v>
      </c>
      <c r="C1700" s="328"/>
      <c r="D1700" s="328"/>
      <c r="E1700" s="328"/>
      <c r="F1700" s="328"/>
      <c r="G1700" s="328"/>
      <c r="H1700" s="328"/>
      <c r="I1700" s="142">
        <f>SUM(I1685:I1699)</f>
        <v>6005.5599400000001</v>
      </c>
    </row>
    <row r="1701" spans="2:9" x14ac:dyDescent="0.25">
      <c r="B1701" s="166"/>
      <c r="C1701" s="223" t="s">
        <v>30</v>
      </c>
      <c r="D1701" s="90" t="s">
        <v>1143</v>
      </c>
      <c r="E1701" s="75"/>
      <c r="F1701" s="75"/>
      <c r="G1701" s="86"/>
      <c r="H1701" s="139"/>
      <c r="I1701" s="140"/>
    </row>
    <row r="1703" spans="2:9" ht="14.4" thickBot="1" x14ac:dyDescent="0.3"/>
    <row r="1704" spans="2:9" ht="14.4" thickBot="1" x14ac:dyDescent="0.3">
      <c r="B1704" s="330" t="s">
        <v>18</v>
      </c>
      <c r="C1704" s="330"/>
      <c r="D1704" s="331" t="s">
        <v>19</v>
      </c>
      <c r="E1704" s="331"/>
      <c r="F1704" s="331"/>
      <c r="G1704" s="331"/>
      <c r="H1704" s="331"/>
      <c r="I1704" s="83" t="s">
        <v>20</v>
      </c>
    </row>
    <row r="1705" spans="2:9" ht="15" customHeight="1" thickBot="1" x14ac:dyDescent="0.3">
      <c r="B1705" s="333" t="s">
        <v>1199</v>
      </c>
      <c r="C1705" s="333"/>
      <c r="D1705" s="334" t="s">
        <v>1205</v>
      </c>
      <c r="E1705" s="334"/>
      <c r="F1705" s="334"/>
      <c r="G1705" s="334"/>
      <c r="H1705" s="334"/>
      <c r="I1705" s="80" t="s">
        <v>472</v>
      </c>
    </row>
    <row r="1706" spans="2:9" ht="14.4" thickBot="1" x14ac:dyDescent="0.3">
      <c r="B1706" s="328" t="s">
        <v>21</v>
      </c>
      <c r="C1706" s="328"/>
      <c r="D1706" s="141"/>
      <c r="E1706" s="157" t="s">
        <v>22</v>
      </c>
      <c r="F1706" s="157" t="s">
        <v>23</v>
      </c>
      <c r="G1706" s="88" t="s">
        <v>24</v>
      </c>
      <c r="H1706" s="89" t="s">
        <v>25</v>
      </c>
      <c r="I1706" s="157" t="s">
        <v>26</v>
      </c>
    </row>
    <row r="1707" spans="2:9" x14ac:dyDescent="0.25">
      <c r="B1707" s="162">
        <v>21014</v>
      </c>
      <c r="C1707" s="151" t="s">
        <v>1</v>
      </c>
      <c r="D1707" s="84" t="s">
        <v>1203</v>
      </c>
      <c r="E1707" s="75" t="s">
        <v>8</v>
      </c>
      <c r="F1707" s="140">
        <f>9/6</f>
        <v>1.5</v>
      </c>
      <c r="G1707" s="77">
        <v>30.92</v>
      </c>
      <c r="H1707" s="139">
        <v>115.34</v>
      </c>
      <c r="I1707" s="140">
        <f t="shared" ref="I1707:I1708" si="138">F1707*G1707*H1707</f>
        <v>5349.4692000000005</v>
      </c>
    </row>
    <row r="1708" spans="2:9" ht="14.4" thickBot="1" x14ac:dyDescent="0.3">
      <c r="B1708" s="162">
        <v>11002</v>
      </c>
      <c r="C1708" s="151" t="s">
        <v>1</v>
      </c>
      <c r="D1708" s="84" t="s">
        <v>1201</v>
      </c>
      <c r="E1708" s="75" t="s">
        <v>82</v>
      </c>
      <c r="F1708" s="140">
        <f>9/6</f>
        <v>1.5</v>
      </c>
      <c r="G1708" s="77">
        <v>2.5099999999999998</v>
      </c>
      <c r="H1708" s="139">
        <v>27.51</v>
      </c>
      <c r="I1708" s="140">
        <f t="shared" si="138"/>
        <v>103.57514999999999</v>
      </c>
    </row>
    <row r="1709" spans="2:9" ht="14.4" thickBot="1" x14ac:dyDescent="0.3">
      <c r="B1709" s="328" t="s">
        <v>27</v>
      </c>
      <c r="C1709" s="328"/>
      <c r="D1709" s="141"/>
      <c r="E1709" s="157" t="s">
        <v>22</v>
      </c>
      <c r="F1709" s="157" t="s">
        <v>23</v>
      </c>
      <c r="G1709" s="88" t="s">
        <v>24</v>
      </c>
      <c r="H1709" s="89" t="s">
        <v>25</v>
      </c>
      <c r="I1709" s="157" t="s">
        <v>26</v>
      </c>
    </row>
    <row r="1710" spans="2:9" ht="20.399999999999999" x14ac:dyDescent="0.25">
      <c r="B1710" s="162">
        <v>96522</v>
      </c>
      <c r="C1710" s="151" t="s">
        <v>1</v>
      </c>
      <c r="D1710" s="84" t="s">
        <v>1012</v>
      </c>
      <c r="E1710" s="75" t="s">
        <v>80</v>
      </c>
      <c r="F1710" s="140">
        <f>9/6</f>
        <v>1.5</v>
      </c>
      <c r="G1710" s="77">
        <v>0.76800000000000002</v>
      </c>
      <c r="H1710" s="139">
        <v>107.38</v>
      </c>
      <c r="I1710" s="140">
        <f t="shared" ref="I1710:I1712" si="139">F1710*G1710*H1710</f>
        <v>123.70176000000001</v>
      </c>
    </row>
    <row r="1711" spans="2:9" ht="20.399999999999999" x14ac:dyDescent="0.25">
      <c r="B1711" s="162">
        <v>96534</v>
      </c>
      <c r="C1711" s="151" t="s">
        <v>1</v>
      </c>
      <c r="D1711" s="84" t="s">
        <v>1202</v>
      </c>
      <c r="E1711" s="75" t="s">
        <v>37</v>
      </c>
      <c r="F1711" s="140">
        <f>9/6</f>
        <v>1.5</v>
      </c>
      <c r="G1711" s="77">
        <f>4.32/4</f>
        <v>1.08</v>
      </c>
      <c r="H1711" s="139">
        <v>69.08</v>
      </c>
      <c r="I1711" s="140">
        <f t="shared" si="139"/>
        <v>111.9096</v>
      </c>
    </row>
    <row r="1712" spans="2:9" ht="20.399999999999999" x14ac:dyDescent="0.25">
      <c r="B1712" s="162">
        <v>94964</v>
      </c>
      <c r="C1712" s="151" t="s">
        <v>1</v>
      </c>
      <c r="D1712" s="84" t="s">
        <v>981</v>
      </c>
      <c r="E1712" s="75" t="s">
        <v>80</v>
      </c>
      <c r="F1712" s="140">
        <f>9/6</f>
        <v>1.5</v>
      </c>
      <c r="G1712" s="77">
        <v>0.14399999999999999</v>
      </c>
      <c r="H1712" s="139">
        <v>407.4</v>
      </c>
      <c r="I1712" s="140">
        <f t="shared" si="139"/>
        <v>87.99839999999999</v>
      </c>
    </row>
    <row r="1713" spans="2:9" ht="20.399999999999999" x14ac:dyDescent="0.25">
      <c r="B1713" s="162">
        <v>100722</v>
      </c>
      <c r="C1713" s="151" t="s">
        <v>1</v>
      </c>
      <c r="D1713" s="84" t="s">
        <v>1140</v>
      </c>
      <c r="E1713" s="75" t="s">
        <v>37</v>
      </c>
      <c r="F1713" s="140">
        <f>9/6</f>
        <v>1.5</v>
      </c>
      <c r="G1713" s="77">
        <v>6.12</v>
      </c>
      <c r="H1713" s="139">
        <v>17.11</v>
      </c>
      <c r="I1713" s="140">
        <f>F1713*G1713*H1713</f>
        <v>157.06979999999999</v>
      </c>
    </row>
    <row r="1714" spans="2:9" ht="21" thickBot="1" x14ac:dyDescent="0.3">
      <c r="B1714" s="225">
        <v>100746</v>
      </c>
      <c r="C1714" s="151" t="s">
        <v>1</v>
      </c>
      <c r="D1714" s="84" t="s">
        <v>1141</v>
      </c>
      <c r="E1714" s="75" t="s">
        <v>37</v>
      </c>
      <c r="F1714" s="140">
        <f>9/6</f>
        <v>1.5</v>
      </c>
      <c r="G1714" s="77">
        <v>6.12</v>
      </c>
      <c r="H1714" s="139">
        <v>17.39</v>
      </c>
      <c r="I1714" s="140">
        <f t="shared" ref="I1714" si="140">F1714*G1714*H1714</f>
        <v>159.64019999999999</v>
      </c>
    </row>
    <row r="1715" spans="2:9" ht="14.4" thickBot="1" x14ac:dyDescent="0.3">
      <c r="B1715" s="328" t="s">
        <v>28</v>
      </c>
      <c r="C1715" s="328"/>
      <c r="D1715" s="159"/>
      <c r="E1715" s="157" t="s">
        <v>22</v>
      </c>
      <c r="F1715" s="157" t="s">
        <v>23</v>
      </c>
      <c r="G1715" s="88" t="s">
        <v>24</v>
      </c>
      <c r="H1715" s="89" t="s">
        <v>25</v>
      </c>
      <c r="I1715" s="157" t="s">
        <v>26</v>
      </c>
    </row>
    <row r="1716" spans="2:9" ht="14.4" thickBot="1" x14ac:dyDescent="0.3">
      <c r="B1716" s="151">
        <v>88317</v>
      </c>
      <c r="C1716" s="151" t="s">
        <v>1</v>
      </c>
      <c r="D1716" s="84" t="s">
        <v>1142</v>
      </c>
      <c r="E1716" s="75" t="s">
        <v>2</v>
      </c>
      <c r="F1716" s="140">
        <f>9/6</f>
        <v>1.5</v>
      </c>
      <c r="G1716" s="77">
        <v>20.399999999999999</v>
      </c>
      <c r="H1716" s="139">
        <v>19.57</v>
      </c>
      <c r="I1716" s="140">
        <f>F1716*G1716*H1716</f>
        <v>598.84199999999998</v>
      </c>
    </row>
    <row r="1717" spans="2:9" ht="14.4" thickBot="1" x14ac:dyDescent="0.3">
      <c r="B1717" s="328" t="s">
        <v>29</v>
      </c>
      <c r="C1717" s="328"/>
      <c r="D1717" s="328"/>
      <c r="E1717" s="328"/>
      <c r="F1717" s="328"/>
      <c r="G1717" s="328"/>
      <c r="H1717" s="328"/>
      <c r="I1717" s="142">
        <f>SUM(I1707:I1716)</f>
        <v>6692.2061100000001</v>
      </c>
    </row>
    <row r="1718" spans="2:9" x14ac:dyDescent="0.25">
      <c r="B1718" s="166"/>
      <c r="C1718" s="223" t="s">
        <v>30</v>
      </c>
      <c r="D1718" s="90" t="s">
        <v>1200</v>
      </c>
      <c r="E1718" s="75"/>
      <c r="F1718" s="75"/>
      <c r="G1718" s="86"/>
      <c r="H1718" s="139"/>
      <c r="I1718" s="140"/>
    </row>
    <row r="1720" spans="2:9" ht="14.4" thickBot="1" x14ac:dyDescent="0.3"/>
    <row r="1721" spans="2:9" ht="14.4" thickBot="1" x14ac:dyDescent="0.3">
      <c r="B1721" s="330" t="s">
        <v>18</v>
      </c>
      <c r="C1721" s="330"/>
      <c r="D1721" s="331" t="s">
        <v>19</v>
      </c>
      <c r="E1721" s="331"/>
      <c r="F1721" s="331"/>
      <c r="G1721" s="331"/>
      <c r="H1721" s="331"/>
      <c r="I1721" s="83" t="s">
        <v>20</v>
      </c>
    </row>
    <row r="1722" spans="2:9" ht="14.4" thickBot="1" x14ac:dyDescent="0.3">
      <c r="B1722" s="333" t="s">
        <v>1238</v>
      </c>
      <c r="C1722" s="333"/>
      <c r="D1722" s="334" t="s">
        <v>1241</v>
      </c>
      <c r="E1722" s="334"/>
      <c r="F1722" s="334"/>
      <c r="G1722" s="334"/>
      <c r="H1722" s="334"/>
      <c r="I1722" s="80" t="s">
        <v>472</v>
      </c>
    </row>
    <row r="1723" spans="2:9" ht="14.4" thickBot="1" x14ac:dyDescent="0.3">
      <c r="B1723" s="328" t="s">
        <v>21</v>
      </c>
      <c r="C1723" s="328"/>
      <c r="D1723" s="141"/>
      <c r="E1723" s="289" t="s">
        <v>22</v>
      </c>
      <c r="F1723" s="289" t="s">
        <v>23</v>
      </c>
      <c r="G1723" s="88" t="s">
        <v>24</v>
      </c>
      <c r="H1723" s="89" t="s">
        <v>25</v>
      </c>
      <c r="I1723" s="289" t="s">
        <v>26</v>
      </c>
    </row>
    <row r="1724" spans="2:9" ht="14.4" thickBot="1" x14ac:dyDescent="0.3">
      <c r="B1724" s="162"/>
      <c r="C1724" s="151" t="s">
        <v>206</v>
      </c>
      <c r="D1724" s="84" t="s">
        <v>1239</v>
      </c>
      <c r="E1724" s="75" t="s">
        <v>22</v>
      </c>
      <c r="F1724" s="140">
        <v>1</v>
      </c>
      <c r="G1724" s="77">
        <v>1</v>
      </c>
      <c r="H1724" s="139">
        <v>221280.38</v>
      </c>
      <c r="I1724" s="140">
        <f>F1724*G1724*H1724</f>
        <v>221280.38</v>
      </c>
    </row>
    <row r="1725" spans="2:9" ht="14.4" thickBot="1" x14ac:dyDescent="0.3">
      <c r="B1725" s="328" t="s">
        <v>1240</v>
      </c>
      <c r="C1725" s="328"/>
      <c r="D1725" s="141"/>
      <c r="E1725" s="289" t="s">
        <v>22</v>
      </c>
      <c r="F1725" s="289" t="s">
        <v>23</v>
      </c>
      <c r="G1725" s="88" t="s">
        <v>24</v>
      </c>
      <c r="H1725" s="89" t="s">
        <v>25</v>
      </c>
      <c r="I1725" s="289" t="s">
        <v>26</v>
      </c>
    </row>
    <row r="1726" spans="2:9" ht="14.4" thickBot="1" x14ac:dyDescent="0.3">
      <c r="B1726" s="162"/>
      <c r="C1726" s="151" t="s">
        <v>206</v>
      </c>
      <c r="D1726" s="84" t="s">
        <v>1242</v>
      </c>
      <c r="E1726" s="75">
        <v>1</v>
      </c>
      <c r="F1726" s="140">
        <v>12</v>
      </c>
      <c r="G1726" s="77">
        <v>1</v>
      </c>
      <c r="H1726" s="139">
        <v>503.36</v>
      </c>
      <c r="I1726" s="140">
        <f>F1726*G1726*H1726</f>
        <v>6040.32</v>
      </c>
    </row>
    <row r="1727" spans="2:9" ht="14.4" thickBot="1" x14ac:dyDescent="0.3">
      <c r="B1727" s="328" t="s">
        <v>29</v>
      </c>
      <c r="C1727" s="328"/>
      <c r="D1727" s="328"/>
      <c r="E1727" s="328"/>
      <c r="F1727" s="328"/>
      <c r="G1727" s="328"/>
      <c r="H1727" s="328"/>
      <c r="I1727" s="142">
        <f>SUM(I1724:I1726)</f>
        <v>227320.7</v>
      </c>
    </row>
    <row r="1728" spans="2:9" x14ac:dyDescent="0.25">
      <c r="B1728" s="166"/>
      <c r="C1728" s="223" t="s">
        <v>30</v>
      </c>
      <c r="D1728" s="90" t="s">
        <v>1033</v>
      </c>
      <c r="E1728" s="75"/>
      <c r="F1728" s="75"/>
      <c r="G1728" s="86"/>
      <c r="H1728" s="139"/>
      <c r="I1728" s="140"/>
    </row>
  </sheetData>
  <autoFilter ref="B2:I1718" xr:uid="{00000000-0001-0000-0100-000000000000}"/>
  <mergeCells count="861">
    <mergeCell ref="D110:H110"/>
    <mergeCell ref="B114:H114"/>
    <mergeCell ref="B1155:H1155"/>
    <mergeCell ref="B853:H853"/>
    <mergeCell ref="B924:C924"/>
    <mergeCell ref="D924:H924"/>
    <mergeCell ref="B587:C587"/>
    <mergeCell ref="D587:H587"/>
    <mergeCell ref="B648:H648"/>
    <mergeCell ref="B659:H659"/>
    <mergeCell ref="B670:H670"/>
    <mergeCell ref="B681:H681"/>
    <mergeCell ref="B692:H692"/>
    <mergeCell ref="B703:H703"/>
    <mergeCell ref="B714:H714"/>
    <mergeCell ref="B725:H725"/>
    <mergeCell ref="B735:H735"/>
    <mergeCell ref="B745:H745"/>
    <mergeCell ref="B756:H756"/>
    <mergeCell ref="B774:H774"/>
    <mergeCell ref="B786:H786"/>
    <mergeCell ref="B798:H798"/>
    <mergeCell ref="B810:H810"/>
    <mergeCell ref="B824:H824"/>
    <mergeCell ref="D641:H641"/>
    <mergeCell ref="B293:C293"/>
    <mergeCell ref="D293:H293"/>
    <mergeCell ref="B294:C294"/>
    <mergeCell ref="B297:H297"/>
    <mergeCell ref="B301:C301"/>
    <mergeCell ref="D301:H301"/>
    <mergeCell ref="D302:H302"/>
    <mergeCell ref="B303:C303"/>
    <mergeCell ref="B306:H306"/>
    <mergeCell ref="B1644:C1644"/>
    <mergeCell ref="B1649:C1649"/>
    <mergeCell ref="B1652:C1652"/>
    <mergeCell ref="B1656:H1656"/>
    <mergeCell ref="B1660:C1660"/>
    <mergeCell ref="D1660:H1660"/>
    <mergeCell ref="B1682:C1682"/>
    <mergeCell ref="D1682:H1682"/>
    <mergeCell ref="D1132:H1132"/>
    <mergeCell ref="D1140:H1140"/>
    <mergeCell ref="D1151:H1151"/>
    <mergeCell ref="B1661:C1661"/>
    <mergeCell ref="D1661:H1661"/>
    <mergeCell ref="B1662:C1662"/>
    <mergeCell ref="B1629:C1629"/>
    <mergeCell ref="B1632:C1632"/>
    <mergeCell ref="B1635:C1635"/>
    <mergeCell ref="B1638:H1638"/>
    <mergeCell ref="B1616:C1616"/>
    <mergeCell ref="B1642:C1642"/>
    <mergeCell ref="B1696:C1696"/>
    <mergeCell ref="B1700:H1700"/>
    <mergeCell ref="B1705:C1705"/>
    <mergeCell ref="D1705:H1705"/>
    <mergeCell ref="B1706:C1706"/>
    <mergeCell ref="B1709:C1709"/>
    <mergeCell ref="B1715:C1715"/>
    <mergeCell ref="B1717:H1717"/>
    <mergeCell ref="B1668:C1668"/>
    <mergeCell ref="B1674:C1674"/>
    <mergeCell ref="B1678:H1678"/>
    <mergeCell ref="B1704:C1704"/>
    <mergeCell ref="D1704:H1704"/>
    <mergeCell ref="B1683:C1683"/>
    <mergeCell ref="D1683:H1683"/>
    <mergeCell ref="B1684:C1684"/>
    <mergeCell ref="B1690:C1690"/>
    <mergeCell ref="D1642:H1642"/>
    <mergeCell ref="B1643:C1643"/>
    <mergeCell ref="D1643:H1643"/>
    <mergeCell ref="B1610:C1610"/>
    <mergeCell ref="D1610:H1610"/>
    <mergeCell ref="B1611:C1611"/>
    <mergeCell ref="B1620:C1620"/>
    <mergeCell ref="B1623:H1623"/>
    <mergeCell ref="B1627:C1627"/>
    <mergeCell ref="D1627:H1627"/>
    <mergeCell ref="B1628:C1628"/>
    <mergeCell ref="D1628:H1628"/>
    <mergeCell ref="B1589:C1589"/>
    <mergeCell ref="D1589:H1589"/>
    <mergeCell ref="B1590:C1590"/>
    <mergeCell ref="D1590:H1590"/>
    <mergeCell ref="B1591:C1591"/>
    <mergeCell ref="B1594:C1594"/>
    <mergeCell ref="B1602:C1602"/>
    <mergeCell ref="B1605:H1605"/>
    <mergeCell ref="B1609:C1609"/>
    <mergeCell ref="D1609:H1609"/>
    <mergeCell ref="B1569:H1569"/>
    <mergeCell ref="B1573:C1573"/>
    <mergeCell ref="D1573:H1573"/>
    <mergeCell ref="B1574:C1574"/>
    <mergeCell ref="D1574:H1574"/>
    <mergeCell ref="B1575:C1575"/>
    <mergeCell ref="B1578:C1578"/>
    <mergeCell ref="B1582:C1582"/>
    <mergeCell ref="B1585:H1585"/>
    <mergeCell ref="B1550:C1550"/>
    <mergeCell ref="B1553:H1553"/>
    <mergeCell ref="B1557:C1557"/>
    <mergeCell ref="D1557:H1557"/>
    <mergeCell ref="B1558:C1558"/>
    <mergeCell ref="D1558:H1558"/>
    <mergeCell ref="B1559:C1559"/>
    <mergeCell ref="B1562:C1562"/>
    <mergeCell ref="B1566:C1566"/>
    <mergeCell ref="B1526:C1526"/>
    <mergeCell ref="B1528:C1528"/>
    <mergeCell ref="B1537:H1537"/>
    <mergeCell ref="B1541:C1541"/>
    <mergeCell ref="D1541:H1541"/>
    <mergeCell ref="B1542:C1542"/>
    <mergeCell ref="D1542:H1542"/>
    <mergeCell ref="B1543:C1543"/>
    <mergeCell ref="B1546:C1546"/>
    <mergeCell ref="B1508:C1508"/>
    <mergeCell ref="D1508:H1508"/>
    <mergeCell ref="B1509:C1509"/>
    <mergeCell ref="B1511:C1511"/>
    <mergeCell ref="B1520:H1520"/>
    <mergeCell ref="B1524:C1524"/>
    <mergeCell ref="D1524:H1524"/>
    <mergeCell ref="B1525:C1525"/>
    <mergeCell ref="D1525:H1525"/>
    <mergeCell ref="B1488:C1488"/>
    <mergeCell ref="D1488:H1488"/>
    <mergeCell ref="B1489:C1489"/>
    <mergeCell ref="D1489:H1489"/>
    <mergeCell ref="B1490:C1490"/>
    <mergeCell ref="B1493:C1493"/>
    <mergeCell ref="B1500:C1500"/>
    <mergeCell ref="B1503:H1503"/>
    <mergeCell ref="B1507:C1507"/>
    <mergeCell ref="D1507:H1507"/>
    <mergeCell ref="B1465:H1465"/>
    <mergeCell ref="B1469:C1469"/>
    <mergeCell ref="D1469:H1469"/>
    <mergeCell ref="B1470:C1470"/>
    <mergeCell ref="D1470:H1470"/>
    <mergeCell ref="B1471:C1471"/>
    <mergeCell ref="B1473:C1473"/>
    <mergeCell ref="B1482:C1482"/>
    <mergeCell ref="B1484:H1484"/>
    <mergeCell ref="B1445:C1445"/>
    <mergeCell ref="B1447:H1447"/>
    <mergeCell ref="B1451:C1451"/>
    <mergeCell ref="D1451:H1451"/>
    <mergeCell ref="B1452:C1452"/>
    <mergeCell ref="D1452:H1452"/>
    <mergeCell ref="B1453:C1453"/>
    <mergeCell ref="B1455:C1455"/>
    <mergeCell ref="B1463:C1463"/>
    <mergeCell ref="B1424:C1424"/>
    <mergeCell ref="B1429:C1429"/>
    <mergeCell ref="B1431:H1431"/>
    <mergeCell ref="B1435:C1435"/>
    <mergeCell ref="D1435:H1435"/>
    <mergeCell ref="B1436:C1436"/>
    <mergeCell ref="D1436:H1436"/>
    <mergeCell ref="B1437:C1437"/>
    <mergeCell ref="B1440:C1440"/>
    <mergeCell ref="B1400:C1400"/>
    <mergeCell ref="B1410:C1410"/>
    <mergeCell ref="B1412:C1412"/>
    <mergeCell ref="B1415:H1415"/>
    <mergeCell ref="B1419:C1419"/>
    <mergeCell ref="D1419:H1419"/>
    <mergeCell ref="B1420:C1420"/>
    <mergeCell ref="D1420:H1420"/>
    <mergeCell ref="B1421:C1421"/>
    <mergeCell ref="B1378:C1378"/>
    <mergeCell ref="D1378:H1378"/>
    <mergeCell ref="B1379:C1379"/>
    <mergeCell ref="B1382:C1382"/>
    <mergeCell ref="B1391:C1391"/>
    <mergeCell ref="B1394:H1394"/>
    <mergeCell ref="B1398:C1398"/>
    <mergeCell ref="D1398:H1398"/>
    <mergeCell ref="B1399:C1399"/>
    <mergeCell ref="D1399:H1399"/>
    <mergeCell ref="B1365:C1365"/>
    <mergeCell ref="D1365:H1365"/>
    <mergeCell ref="B1366:C1366"/>
    <mergeCell ref="D1366:H1366"/>
    <mergeCell ref="B1367:C1367"/>
    <mergeCell ref="B1370:C1370"/>
    <mergeCell ref="B1373:H1373"/>
    <mergeCell ref="B1377:C1377"/>
    <mergeCell ref="D1377:H1377"/>
    <mergeCell ref="B1334:H1334"/>
    <mergeCell ref="B1338:C1338"/>
    <mergeCell ref="D1338:H1338"/>
    <mergeCell ref="B1339:C1339"/>
    <mergeCell ref="D1339:H1339"/>
    <mergeCell ref="B1340:C1340"/>
    <mergeCell ref="B1344:C1344"/>
    <mergeCell ref="B1358:C1358"/>
    <mergeCell ref="B1361:H1361"/>
    <mergeCell ref="B1304:C1304"/>
    <mergeCell ref="B1307:H1307"/>
    <mergeCell ref="B1311:C1311"/>
    <mergeCell ref="D1311:H1311"/>
    <mergeCell ref="B1312:C1312"/>
    <mergeCell ref="D1312:H1312"/>
    <mergeCell ref="B1313:C1313"/>
    <mergeCell ref="B1317:C1317"/>
    <mergeCell ref="B1331:C1331"/>
    <mergeCell ref="B1263:C1263"/>
    <mergeCell ref="B1277:C1277"/>
    <mergeCell ref="B1280:H1280"/>
    <mergeCell ref="B1284:C1284"/>
    <mergeCell ref="D1284:H1284"/>
    <mergeCell ref="B1285:C1285"/>
    <mergeCell ref="D1285:H1285"/>
    <mergeCell ref="B1286:C1286"/>
    <mergeCell ref="B1290:C1290"/>
    <mergeCell ref="D1244:H1244"/>
    <mergeCell ref="B1245:C1245"/>
    <mergeCell ref="B1250:C1250"/>
    <mergeCell ref="B1253:H1253"/>
    <mergeCell ref="B1257:C1257"/>
    <mergeCell ref="D1257:H1257"/>
    <mergeCell ref="B1258:C1258"/>
    <mergeCell ref="D1258:H1258"/>
    <mergeCell ref="B1259:C1259"/>
    <mergeCell ref="B1125:C1125"/>
    <mergeCell ref="B1127:H1127"/>
    <mergeCell ref="B503:C503"/>
    <mergeCell ref="D503:H503"/>
    <mergeCell ref="B504:C504"/>
    <mergeCell ref="B506:C506"/>
    <mergeCell ref="B509:H509"/>
    <mergeCell ref="B513:C513"/>
    <mergeCell ref="D513:H513"/>
    <mergeCell ref="B514:C514"/>
    <mergeCell ref="D514:H514"/>
    <mergeCell ref="B844:H844"/>
    <mergeCell ref="D829:H829"/>
    <mergeCell ref="D815:H815"/>
    <mergeCell ref="D803:H803"/>
    <mergeCell ref="D791:H791"/>
    <mergeCell ref="D779:H779"/>
    <mergeCell ref="D761:H761"/>
    <mergeCell ref="D740:H740"/>
    <mergeCell ref="D730:H730"/>
    <mergeCell ref="B749:C749"/>
    <mergeCell ref="B829:C829"/>
    <mergeCell ref="D750:H750"/>
    <mergeCell ref="B751:C751"/>
    <mergeCell ref="B255:C255"/>
    <mergeCell ref="D255:H255"/>
    <mergeCell ref="B256:C256"/>
    <mergeCell ref="B258:C258"/>
    <mergeCell ref="B1124:C1124"/>
    <mergeCell ref="B1231:C1231"/>
    <mergeCell ref="B1123:C1123"/>
    <mergeCell ref="D1123:H1123"/>
    <mergeCell ref="D1124:H1124"/>
    <mergeCell ref="B1191:H1191"/>
    <mergeCell ref="B1195:C1195"/>
    <mergeCell ref="D1195:H1195"/>
    <mergeCell ref="B1196:C1196"/>
    <mergeCell ref="D1196:H1196"/>
    <mergeCell ref="B1200:C1200"/>
    <mergeCell ref="B1203:H1203"/>
    <mergeCell ref="B1207:C1207"/>
    <mergeCell ref="D1207:H1207"/>
    <mergeCell ref="B1208:C1208"/>
    <mergeCell ref="D1208:H1208"/>
    <mergeCell ref="B1209:C1209"/>
    <mergeCell ref="B1217:C1217"/>
    <mergeCell ref="B261:H261"/>
    <mergeCell ref="B588:C588"/>
    <mergeCell ref="B515:C515"/>
    <mergeCell ref="B517:C517"/>
    <mergeCell ref="B520:H520"/>
    <mergeCell ref="B1112:C1112"/>
    <mergeCell ref="D1112:H1112"/>
    <mergeCell ref="B1113:C1113"/>
    <mergeCell ref="B1117:C1117"/>
    <mergeCell ref="B1119:H1119"/>
    <mergeCell ref="B1107:H1107"/>
    <mergeCell ref="B1068:C1068"/>
    <mergeCell ref="B1070:C1070"/>
    <mergeCell ref="B1073:H1073"/>
    <mergeCell ref="B1077:C1077"/>
    <mergeCell ref="D1077:H1077"/>
    <mergeCell ref="B1079:C1079"/>
    <mergeCell ref="B997:C997"/>
    <mergeCell ref="B753:C753"/>
    <mergeCell ref="D997:H997"/>
    <mergeCell ref="B998:C998"/>
    <mergeCell ref="D998:H998"/>
    <mergeCell ref="B1039:C1039"/>
    <mergeCell ref="B999:C999"/>
    <mergeCell ref="B1021:C1021"/>
    <mergeCell ref="B1057:C1057"/>
    <mergeCell ref="B467:C467"/>
    <mergeCell ref="D467:H467"/>
    <mergeCell ref="B468:C468"/>
    <mergeCell ref="B472:C472"/>
    <mergeCell ref="B475:H475"/>
    <mergeCell ref="B479:C479"/>
    <mergeCell ref="D479:H479"/>
    <mergeCell ref="B480:C480"/>
    <mergeCell ref="D480:H480"/>
    <mergeCell ref="B502:C502"/>
    <mergeCell ref="D502:H502"/>
    <mergeCell ref="B481:C481"/>
    <mergeCell ref="B483:C483"/>
    <mergeCell ref="B486:H486"/>
    <mergeCell ref="B490:C490"/>
    <mergeCell ref="D490:H490"/>
    <mergeCell ref="B491:C491"/>
    <mergeCell ref="D491:H491"/>
    <mergeCell ref="B492:C492"/>
    <mergeCell ref="B495:C495"/>
    <mergeCell ref="B498:H498"/>
    <mergeCell ref="D444:H444"/>
    <mergeCell ref="B445:C445"/>
    <mergeCell ref="D445:H445"/>
    <mergeCell ref="B446:C446"/>
    <mergeCell ref="B448:C448"/>
    <mergeCell ref="B451:H451"/>
    <mergeCell ref="B466:C466"/>
    <mergeCell ref="D466:H466"/>
    <mergeCell ref="D456:H456"/>
    <mergeCell ref="B457:C457"/>
    <mergeCell ref="B459:C459"/>
    <mergeCell ref="B462:H462"/>
    <mergeCell ref="B455:C455"/>
    <mergeCell ref="D455:H455"/>
    <mergeCell ref="B456:C456"/>
    <mergeCell ref="B100:C100"/>
    <mergeCell ref="D100:H100"/>
    <mergeCell ref="B101:C101"/>
    <mergeCell ref="D101:H101"/>
    <mergeCell ref="B102:C102"/>
    <mergeCell ref="B105:H105"/>
    <mergeCell ref="B1111:C1111"/>
    <mergeCell ref="D1111:H1111"/>
    <mergeCell ref="B1091:C1091"/>
    <mergeCell ref="B1094:C1094"/>
    <mergeCell ref="B1096:H1096"/>
    <mergeCell ref="B1100:C1100"/>
    <mergeCell ref="D1100:H1100"/>
    <mergeCell ref="B1101:C1101"/>
    <mergeCell ref="D1101:H1101"/>
    <mergeCell ref="B1102:C1102"/>
    <mergeCell ref="B1104:C1104"/>
    <mergeCell ref="B1078:C1078"/>
    <mergeCell ref="B1090:C1090"/>
    <mergeCell ref="D1090:H1090"/>
    <mergeCell ref="B1066:C1066"/>
    <mergeCell ref="D1066:H1066"/>
    <mergeCell ref="B1067:C1067"/>
    <mergeCell ref="D1067:H1067"/>
    <mergeCell ref="B1023:C1023"/>
    <mergeCell ref="B1030:C1030"/>
    <mergeCell ref="B1038:C1038"/>
    <mergeCell ref="D1038:H1038"/>
    <mergeCell ref="B1033:H1033"/>
    <mergeCell ref="B1022:C1022"/>
    <mergeCell ref="D1022:H1022"/>
    <mergeCell ref="B1010:C1010"/>
    <mergeCell ref="B1014:C1014"/>
    <mergeCell ref="B1017:H1017"/>
    <mergeCell ref="B1062:H1062"/>
    <mergeCell ref="D1021:H1021"/>
    <mergeCell ref="B1133:C1133"/>
    <mergeCell ref="B848:C848"/>
    <mergeCell ref="D848:H848"/>
    <mergeCell ref="B849:C849"/>
    <mergeCell ref="B850:C850"/>
    <mergeCell ref="B1131:C1131"/>
    <mergeCell ref="D1131:H1131"/>
    <mergeCell ref="B1132:C1132"/>
    <mergeCell ref="B968:C968"/>
    <mergeCell ref="D968:H968"/>
    <mergeCell ref="B969:C969"/>
    <mergeCell ref="B971:C971"/>
    <mergeCell ref="B975:H975"/>
    <mergeCell ref="B979:C979"/>
    <mergeCell ref="B1037:C1037"/>
    <mergeCell ref="D1037:H1037"/>
    <mergeCell ref="D979:H979"/>
    <mergeCell ref="B980:C980"/>
    <mergeCell ref="D980:H980"/>
    <mergeCell ref="B981:C981"/>
    <mergeCell ref="B989:C989"/>
    <mergeCell ref="B963:H963"/>
    <mergeCell ref="B993:H993"/>
    <mergeCell ref="D1078:H1078"/>
    <mergeCell ref="B589:C589"/>
    <mergeCell ref="B760:C760"/>
    <mergeCell ref="D760:H760"/>
    <mergeCell ref="B761:C761"/>
    <mergeCell ref="B762:C762"/>
    <mergeCell ref="B771:C771"/>
    <mergeCell ref="B652:C652"/>
    <mergeCell ref="D652:H652"/>
    <mergeCell ref="B653:C653"/>
    <mergeCell ref="D653:H653"/>
    <mergeCell ref="B654:C654"/>
    <mergeCell ref="B656:C656"/>
    <mergeCell ref="D708:H708"/>
    <mergeCell ref="B709:C709"/>
    <mergeCell ref="B711:C711"/>
    <mergeCell ref="B718:C718"/>
    <mergeCell ref="D718:H718"/>
    <mergeCell ref="B733:C733"/>
    <mergeCell ref="B739:C739"/>
    <mergeCell ref="B958:C958"/>
    <mergeCell ref="B960:C960"/>
    <mergeCell ref="D696:H696"/>
    <mergeCell ref="B967:C967"/>
    <mergeCell ref="D967:H967"/>
    <mergeCell ref="B904:C904"/>
    <mergeCell ref="D904:H904"/>
    <mergeCell ref="B920:H920"/>
    <mergeCell ref="B905:C905"/>
    <mergeCell ref="B907:C907"/>
    <mergeCell ref="B910:H910"/>
    <mergeCell ref="B914:C914"/>
    <mergeCell ref="D914:H914"/>
    <mergeCell ref="B915:C915"/>
    <mergeCell ref="D915:H915"/>
    <mergeCell ref="B916:C916"/>
    <mergeCell ref="B918:C918"/>
    <mergeCell ref="B936:C936"/>
    <mergeCell ref="B938:C938"/>
    <mergeCell ref="B941:H941"/>
    <mergeCell ref="B945:C945"/>
    <mergeCell ref="D945:H945"/>
    <mergeCell ref="B946:C946"/>
    <mergeCell ref="B957:C957"/>
    <mergeCell ref="D957:H957"/>
    <mergeCell ref="D946:H946"/>
    <mergeCell ref="B930:H930"/>
    <mergeCell ref="B526:C526"/>
    <mergeCell ref="B529:C529"/>
    <mergeCell ref="B532:H532"/>
    <mergeCell ref="B536:C536"/>
    <mergeCell ref="D536:H536"/>
    <mergeCell ref="B537:C537"/>
    <mergeCell ref="D537:H537"/>
    <mergeCell ref="B538:C538"/>
    <mergeCell ref="B541:C541"/>
    <mergeCell ref="B544:H544"/>
    <mergeCell ref="B548:C548"/>
    <mergeCell ref="D548:H548"/>
    <mergeCell ref="B807:C807"/>
    <mergeCell ref="B719:C719"/>
    <mergeCell ref="D719:H719"/>
    <mergeCell ref="B720:C720"/>
    <mergeCell ref="B722:C722"/>
    <mergeCell ref="B828:C828"/>
    <mergeCell ref="D828:H828"/>
    <mergeCell ref="B575:C575"/>
    <mergeCell ref="D575:H575"/>
    <mergeCell ref="B576:C576"/>
    <mergeCell ref="D576:H576"/>
    <mergeCell ref="B577:C577"/>
    <mergeCell ref="B580:C580"/>
    <mergeCell ref="B583:H583"/>
    <mergeCell ref="B675:C675"/>
    <mergeCell ref="D675:H675"/>
    <mergeCell ref="B676:C676"/>
    <mergeCell ref="B678:C678"/>
    <mergeCell ref="B740:C740"/>
    <mergeCell ref="B741:C741"/>
    <mergeCell ref="B743:C743"/>
    <mergeCell ref="D524:H524"/>
    <mergeCell ref="B525:C525"/>
    <mergeCell ref="D525:H525"/>
    <mergeCell ref="B947:C947"/>
    <mergeCell ref="B949:C949"/>
    <mergeCell ref="B952:H952"/>
    <mergeCell ref="B956:C956"/>
    <mergeCell ref="D956:H956"/>
    <mergeCell ref="B433:C433"/>
    <mergeCell ref="D433:H433"/>
    <mergeCell ref="B434:C434"/>
    <mergeCell ref="B436:C436"/>
    <mergeCell ref="B440:H440"/>
    <mergeCell ref="B524:C524"/>
    <mergeCell ref="B549:C549"/>
    <mergeCell ref="D549:H549"/>
    <mergeCell ref="B550:C550"/>
    <mergeCell ref="B552:C552"/>
    <mergeCell ref="B858:C858"/>
    <mergeCell ref="D858:H858"/>
    <mergeCell ref="B708:C708"/>
    <mergeCell ref="B803:C803"/>
    <mergeCell ref="B804:C804"/>
    <mergeCell ref="B444:C444"/>
    <mergeCell ref="B381:C381"/>
    <mergeCell ref="B392:H392"/>
    <mergeCell ref="B270:H270"/>
    <mergeCell ref="B379:C379"/>
    <mergeCell ref="D379:H379"/>
    <mergeCell ref="B380:C380"/>
    <mergeCell ref="D380:H380"/>
    <mergeCell ref="B314:C314"/>
    <mergeCell ref="B317:H317"/>
    <mergeCell ref="B321:C321"/>
    <mergeCell ref="D321:H321"/>
    <mergeCell ref="B332:C332"/>
    <mergeCell ref="B279:H279"/>
    <mergeCell ref="B283:C283"/>
    <mergeCell ref="D283:H283"/>
    <mergeCell ref="B284:C284"/>
    <mergeCell ref="D284:H284"/>
    <mergeCell ref="B285:C285"/>
    <mergeCell ref="B288:H288"/>
    <mergeCell ref="B292:C292"/>
    <mergeCell ref="D292:H292"/>
    <mergeCell ref="B325:C325"/>
    <mergeCell ref="B350:H350"/>
    <mergeCell ref="B334:C334"/>
    <mergeCell ref="B396:C396"/>
    <mergeCell ref="D396:H396"/>
    <mergeCell ref="B397:C397"/>
    <mergeCell ref="D397:H397"/>
    <mergeCell ref="B398:C398"/>
    <mergeCell ref="B417:C417"/>
    <mergeCell ref="B425:C425"/>
    <mergeCell ref="B428:H428"/>
    <mergeCell ref="B432:C432"/>
    <mergeCell ref="D432:H432"/>
    <mergeCell ref="B266:C266"/>
    <mergeCell ref="D266:H266"/>
    <mergeCell ref="B267:C267"/>
    <mergeCell ref="B367:C367"/>
    <mergeCell ref="B372:C372"/>
    <mergeCell ref="B375:H375"/>
    <mergeCell ref="B370:C370"/>
    <mergeCell ref="B328:H328"/>
    <mergeCell ref="D332:H332"/>
    <mergeCell ref="B333:C333"/>
    <mergeCell ref="D333:H333"/>
    <mergeCell ref="B310:C310"/>
    <mergeCell ref="D310:H310"/>
    <mergeCell ref="B322:C322"/>
    <mergeCell ref="D322:H322"/>
    <mergeCell ref="B323:C323"/>
    <mergeCell ref="B311:C311"/>
    <mergeCell ref="D311:H311"/>
    <mergeCell ref="B312:C312"/>
    <mergeCell ref="B302:C302"/>
    <mergeCell ref="B344:C344"/>
    <mergeCell ref="D344:H344"/>
    <mergeCell ref="B345:C345"/>
    <mergeCell ref="B347:C347"/>
    <mergeCell ref="B336:C336"/>
    <mergeCell ref="B339:H339"/>
    <mergeCell ref="B343:C343"/>
    <mergeCell ref="D343:H343"/>
    <mergeCell ref="B358:C358"/>
    <mergeCell ref="B361:H361"/>
    <mergeCell ref="B365:C365"/>
    <mergeCell ref="D365:H365"/>
    <mergeCell ref="B366:C366"/>
    <mergeCell ref="D366:H366"/>
    <mergeCell ref="B354:C354"/>
    <mergeCell ref="D354:H354"/>
    <mergeCell ref="B355:C355"/>
    <mergeCell ref="D355:H355"/>
    <mergeCell ref="B356:C356"/>
    <mergeCell ref="B186:C186"/>
    <mergeCell ref="B188:C188"/>
    <mergeCell ref="B191:H191"/>
    <mergeCell ref="B274:C274"/>
    <mergeCell ref="D274:H274"/>
    <mergeCell ref="B275:C275"/>
    <mergeCell ref="D275:H275"/>
    <mergeCell ref="B276:C276"/>
    <mergeCell ref="B250:H250"/>
    <mergeCell ref="B242:C242"/>
    <mergeCell ref="D242:H242"/>
    <mergeCell ref="B243:C243"/>
    <mergeCell ref="B247:C247"/>
    <mergeCell ref="B231:C231"/>
    <mergeCell ref="B234:C234"/>
    <mergeCell ref="B241:C241"/>
    <mergeCell ref="D241:H241"/>
    <mergeCell ref="B225:H225"/>
    <mergeCell ref="B229:C229"/>
    <mergeCell ref="B237:H237"/>
    <mergeCell ref="B265:C265"/>
    <mergeCell ref="D265:H265"/>
    <mergeCell ref="B254:C254"/>
    <mergeCell ref="D254:H254"/>
    <mergeCell ref="B185:C185"/>
    <mergeCell ref="D185:H185"/>
    <mergeCell ref="B131:C131"/>
    <mergeCell ref="B133:C133"/>
    <mergeCell ref="B136:H136"/>
    <mergeCell ref="B120:C120"/>
    <mergeCell ref="B122:C122"/>
    <mergeCell ref="B125:H125"/>
    <mergeCell ref="B129:C129"/>
    <mergeCell ref="D129:H129"/>
    <mergeCell ref="B152:C152"/>
    <mergeCell ref="D152:H152"/>
    <mergeCell ref="B153:C153"/>
    <mergeCell ref="B155:C155"/>
    <mergeCell ref="B158:H158"/>
    <mergeCell ref="B173:C173"/>
    <mergeCell ref="D173:H173"/>
    <mergeCell ref="B140:C140"/>
    <mergeCell ref="D140:H140"/>
    <mergeCell ref="B141:C141"/>
    <mergeCell ref="D141:H141"/>
    <mergeCell ref="B142:C142"/>
    <mergeCell ref="D130:H130"/>
    <mergeCell ref="B162:C162"/>
    <mergeCell ref="D162:H162"/>
    <mergeCell ref="B163:C163"/>
    <mergeCell ref="D163:H163"/>
    <mergeCell ref="B164:C164"/>
    <mergeCell ref="B169:H169"/>
    <mergeCell ref="B184:C184"/>
    <mergeCell ref="D184:H184"/>
    <mergeCell ref="B3:C3"/>
    <mergeCell ref="D3:H3"/>
    <mergeCell ref="B4:C4"/>
    <mergeCell ref="B5:C5"/>
    <mergeCell ref="B210:C210"/>
    <mergeCell ref="B213:H213"/>
    <mergeCell ref="B206:C206"/>
    <mergeCell ref="D206:H206"/>
    <mergeCell ref="B207:C207"/>
    <mergeCell ref="D207:H207"/>
    <mergeCell ref="B208:C208"/>
    <mergeCell ref="B30:C30"/>
    <mergeCell ref="D30:H30"/>
    <mergeCell ref="B31:C31"/>
    <mergeCell ref="D31:H31"/>
    <mergeCell ref="B16:C16"/>
    <mergeCell ref="D16:H16"/>
    <mergeCell ref="B17:C17"/>
    <mergeCell ref="D17:H17"/>
    <mergeCell ref="B166:C166"/>
    <mergeCell ref="B23:C23"/>
    <mergeCell ref="B26:H26"/>
    <mergeCell ref="B45:H45"/>
    <mergeCell ref="B38:C38"/>
    <mergeCell ref="B815:C815"/>
    <mergeCell ref="B816:C816"/>
    <mergeCell ref="B821:C821"/>
    <mergeCell ref="B750:C750"/>
    <mergeCell ref="B697:C697"/>
    <mergeCell ref="B664:C664"/>
    <mergeCell ref="D664:H664"/>
    <mergeCell ref="B8:H8"/>
    <mergeCell ref="D4:H4"/>
    <mergeCell ref="D229:H229"/>
    <mergeCell ref="B230:C230"/>
    <mergeCell ref="D230:H230"/>
    <mergeCell ref="B218:C218"/>
    <mergeCell ref="D218:H218"/>
    <mergeCell ref="B219:C219"/>
    <mergeCell ref="B222:C222"/>
    <mergeCell ref="B42:C42"/>
    <mergeCell ref="B217:C217"/>
    <mergeCell ref="D217:H217"/>
    <mergeCell ref="B118:C118"/>
    <mergeCell ref="D118:H118"/>
    <mergeCell ref="B119:C119"/>
    <mergeCell ref="D119:H119"/>
    <mergeCell ref="B130:C130"/>
    <mergeCell ref="B814:C814"/>
    <mergeCell ref="D814:H814"/>
    <mergeCell ref="B802:C802"/>
    <mergeCell ref="D802:H802"/>
    <mergeCell ref="B790:C790"/>
    <mergeCell ref="D790:H790"/>
    <mergeCell ref="B791:C791"/>
    <mergeCell ref="B792:C792"/>
    <mergeCell ref="B795:C795"/>
    <mergeCell ref="B934:C934"/>
    <mergeCell ref="D934:H934"/>
    <mergeCell ref="B935:C935"/>
    <mergeCell ref="D935:H935"/>
    <mergeCell ref="D893:H893"/>
    <mergeCell ref="B894:C894"/>
    <mergeCell ref="B896:C896"/>
    <mergeCell ref="B899:H899"/>
    <mergeCell ref="B903:C903"/>
    <mergeCell ref="D903:H903"/>
    <mergeCell ref="B875:C875"/>
    <mergeCell ref="B877:C877"/>
    <mergeCell ref="B885:C885"/>
    <mergeCell ref="B888:H888"/>
    <mergeCell ref="B893:C893"/>
    <mergeCell ref="B925:C925"/>
    <mergeCell ref="D925:H925"/>
    <mergeCell ref="B926:C926"/>
    <mergeCell ref="B928:C928"/>
    <mergeCell ref="B892:C892"/>
    <mergeCell ref="D892:H892"/>
    <mergeCell ref="B873:C873"/>
    <mergeCell ref="D873:H873"/>
    <mergeCell ref="B874:C874"/>
    <mergeCell ref="D874:H874"/>
    <mergeCell ref="B859:C859"/>
    <mergeCell ref="B866:C866"/>
    <mergeCell ref="B869:H869"/>
    <mergeCell ref="B864:C864"/>
    <mergeCell ref="B857:C857"/>
    <mergeCell ref="D857:H857"/>
    <mergeCell ref="B665:C665"/>
    <mergeCell ref="B667:C667"/>
    <mergeCell ref="D849:H849"/>
    <mergeCell ref="D749:H749"/>
    <mergeCell ref="B778:C778"/>
    <mergeCell ref="D778:H778"/>
    <mergeCell ref="B779:C779"/>
    <mergeCell ref="B674:C674"/>
    <mergeCell ref="D674:H674"/>
    <mergeCell ref="D697:H697"/>
    <mergeCell ref="B698:C698"/>
    <mergeCell ref="B700:C700"/>
    <mergeCell ref="B685:C685"/>
    <mergeCell ref="D685:H685"/>
    <mergeCell ref="B686:C686"/>
    <mergeCell ref="B731:C731"/>
    <mergeCell ref="B696:C696"/>
    <mergeCell ref="B707:C707"/>
    <mergeCell ref="D707:H707"/>
    <mergeCell ref="B830:C830"/>
    <mergeCell ref="B839:C839"/>
    <mergeCell ref="D739:H739"/>
    <mergeCell ref="B780:C780"/>
    <mergeCell ref="B783:C783"/>
    <mergeCell ref="B625:C625"/>
    <mergeCell ref="D625:H625"/>
    <mergeCell ref="B18:C18"/>
    <mergeCell ref="B49:C49"/>
    <mergeCell ref="D49:H49"/>
    <mergeCell ref="B50:C50"/>
    <mergeCell ref="D50:H50"/>
    <mergeCell ref="B51:C51"/>
    <mergeCell ref="B54:C54"/>
    <mergeCell ref="B62:C62"/>
    <mergeCell ref="B65:H65"/>
    <mergeCell ref="B32:C32"/>
    <mergeCell ref="B554:C554"/>
    <mergeCell ref="B557:H557"/>
    <mergeCell ref="B561:C561"/>
    <mergeCell ref="D561:H561"/>
    <mergeCell ref="B562:C562"/>
    <mergeCell ref="D562:H562"/>
    <mergeCell ref="B563:C563"/>
    <mergeCell ref="B568:C568"/>
    <mergeCell ref="B571:H571"/>
    <mergeCell ref="B610:C610"/>
    <mergeCell ref="B613:C613"/>
    <mergeCell ref="B620:H620"/>
    <mergeCell ref="D729:H729"/>
    <mergeCell ref="B730:C730"/>
    <mergeCell ref="B109:C109"/>
    <mergeCell ref="D109:H109"/>
    <mergeCell ref="B110:C110"/>
    <mergeCell ref="B111:C111"/>
    <mergeCell ref="B630:C630"/>
    <mergeCell ref="B69:C69"/>
    <mergeCell ref="D69:H69"/>
    <mergeCell ref="B70:C70"/>
    <mergeCell ref="D70:H70"/>
    <mergeCell ref="B71:C71"/>
    <mergeCell ref="B74:C74"/>
    <mergeCell ref="B82:C82"/>
    <mergeCell ref="B85:H85"/>
    <mergeCell ref="B89:C89"/>
    <mergeCell ref="D89:H89"/>
    <mergeCell ref="B90:C90"/>
    <mergeCell ref="D90:H90"/>
    <mergeCell ref="B91:C91"/>
    <mergeCell ref="B93:C93"/>
    <mergeCell ref="B96:H96"/>
    <mergeCell ref="B624:C624"/>
    <mergeCell ref="D624:H624"/>
    <mergeCell ref="B663:C663"/>
    <mergeCell ref="D663:H663"/>
    <mergeCell ref="B1140:C1140"/>
    <mergeCell ref="B1143:C1143"/>
    <mergeCell ref="B202:H202"/>
    <mergeCell ref="B1141:C1141"/>
    <mergeCell ref="B1150:C1150"/>
    <mergeCell ref="D1150:H1150"/>
    <mergeCell ref="B1135:H1135"/>
    <mergeCell ref="B1082:C1082"/>
    <mergeCell ref="B1085:H1085"/>
    <mergeCell ref="B1089:C1089"/>
    <mergeCell ref="D1089:H1089"/>
    <mergeCell ref="B1146:H1146"/>
    <mergeCell ref="D686:H686"/>
    <mergeCell ref="B626:C626"/>
    <mergeCell ref="B633:C633"/>
    <mergeCell ref="B636:H636"/>
    <mergeCell ref="B640:C640"/>
    <mergeCell ref="D640:H640"/>
    <mergeCell ref="B641:C641"/>
    <mergeCell ref="B642:C642"/>
    <mergeCell ref="B646:C646"/>
    <mergeCell ref="B729:C729"/>
    <mergeCell ref="B144:C144"/>
    <mergeCell ref="B147:H147"/>
    <mergeCell ref="B151:C151"/>
    <mergeCell ref="D151:H151"/>
    <mergeCell ref="B1721:C1721"/>
    <mergeCell ref="D1721:H1721"/>
    <mergeCell ref="B1722:C1722"/>
    <mergeCell ref="D1722:H1722"/>
    <mergeCell ref="B1723:C1723"/>
    <mergeCell ref="B1139:C1139"/>
    <mergeCell ref="D1139:H1139"/>
    <mergeCell ref="B174:C174"/>
    <mergeCell ref="D174:H174"/>
    <mergeCell ref="B175:C175"/>
    <mergeCell ref="B177:C177"/>
    <mergeCell ref="B180:H180"/>
    <mergeCell ref="B196:C196"/>
    <mergeCell ref="D196:H196"/>
    <mergeCell ref="B197:C197"/>
    <mergeCell ref="B195:C195"/>
    <mergeCell ref="D195:H195"/>
    <mergeCell ref="B199:C199"/>
    <mergeCell ref="B687:C687"/>
    <mergeCell ref="B689:C689"/>
    <mergeCell ref="B1725:C1725"/>
    <mergeCell ref="B1727:H1727"/>
    <mergeCell ref="B1151:C1151"/>
    <mergeCell ref="B1152:C1152"/>
    <mergeCell ref="B1220:H1220"/>
    <mergeCell ref="B1224:C1224"/>
    <mergeCell ref="D1224:H1224"/>
    <mergeCell ref="B1225:C1225"/>
    <mergeCell ref="D1225:H1225"/>
    <mergeCell ref="B1226:C1226"/>
    <mergeCell ref="B1197:C1197"/>
    <mergeCell ref="B1211:C1211"/>
    <mergeCell ref="B1159:C1159"/>
    <mergeCell ref="D1159:H1159"/>
    <mergeCell ref="B1160:C1160"/>
    <mergeCell ref="D1160:H1160"/>
    <mergeCell ref="B1161:C1161"/>
    <mergeCell ref="B1172:C1172"/>
    <mergeCell ref="B1186:C1186"/>
    <mergeCell ref="B1236:C1236"/>
    <mergeCell ref="B1239:H1239"/>
    <mergeCell ref="B1243:C1243"/>
    <mergeCell ref="D1243:H1243"/>
    <mergeCell ref="B1244:C1244"/>
  </mergeCells>
  <phoneticPr fontId="15" type="noConversion"/>
  <conditionalFormatting sqref="I8">
    <cfRule type="cellIs" dxfId="67" priority="452" stopIfTrue="1" operator="equal">
      <formula>0</formula>
    </cfRule>
  </conditionalFormatting>
  <conditionalFormatting sqref="B8">
    <cfRule type="cellIs" dxfId="66" priority="454" stopIfTrue="1" operator="equal">
      <formula>0</formula>
    </cfRule>
  </conditionalFormatting>
  <conditionalFormatting sqref="I8">
    <cfRule type="cellIs" dxfId="65" priority="453" stopIfTrue="1" operator="equal">
      <formula>0</formula>
    </cfRule>
  </conditionalFormatting>
  <conditionalFormatting sqref="I26">
    <cfRule type="cellIs" dxfId="64" priority="437" stopIfTrue="1" operator="equal">
      <formula>0</formula>
    </cfRule>
  </conditionalFormatting>
  <conditionalFormatting sqref="B26">
    <cfRule type="cellIs" dxfId="63" priority="439" stopIfTrue="1" operator="equal">
      <formula>0</formula>
    </cfRule>
  </conditionalFormatting>
  <conditionalFormatting sqref="I26">
    <cfRule type="cellIs" dxfId="62" priority="438" stopIfTrue="1" operator="equal">
      <formula>0</formula>
    </cfRule>
  </conditionalFormatting>
  <conditionalFormatting sqref="I45">
    <cfRule type="cellIs" dxfId="61" priority="434" stopIfTrue="1" operator="equal">
      <formula>0</formula>
    </cfRule>
  </conditionalFormatting>
  <conditionalFormatting sqref="B45">
    <cfRule type="cellIs" dxfId="60" priority="436" stopIfTrue="1" operator="equal">
      <formula>0</formula>
    </cfRule>
  </conditionalFormatting>
  <conditionalFormatting sqref="I45">
    <cfRule type="cellIs" dxfId="59" priority="435" stopIfTrue="1" operator="equal">
      <formula>0</formula>
    </cfRule>
  </conditionalFormatting>
  <conditionalFormatting sqref="B225">
    <cfRule type="cellIs" dxfId="58" priority="433" stopIfTrue="1" operator="equal">
      <formula>0</formula>
    </cfRule>
  </conditionalFormatting>
  <conditionalFormatting sqref="B237">
    <cfRule type="cellIs" dxfId="57" priority="430" stopIfTrue="1" operator="equal">
      <formula>0</formula>
    </cfRule>
  </conditionalFormatting>
  <conditionalFormatting sqref="B250">
    <cfRule type="cellIs" dxfId="56" priority="427" stopIfTrue="1" operator="equal">
      <formula>0</formula>
    </cfRule>
  </conditionalFormatting>
  <conditionalFormatting sqref="B213">
    <cfRule type="cellIs" dxfId="55" priority="424" stopIfTrue="1" operator="equal">
      <formula>0</formula>
    </cfRule>
  </conditionalFormatting>
  <conditionalFormatting sqref="B125">
    <cfRule type="cellIs" dxfId="54" priority="418" stopIfTrue="1" operator="equal">
      <formula>0</formula>
    </cfRule>
  </conditionalFormatting>
  <conditionalFormatting sqref="B136">
    <cfRule type="cellIs" dxfId="53" priority="415" stopIfTrue="1" operator="equal">
      <formula>0</formula>
    </cfRule>
  </conditionalFormatting>
  <conditionalFormatting sqref="B169">
    <cfRule type="cellIs" dxfId="52" priority="412" stopIfTrue="1" operator="equal">
      <formula>0</formula>
    </cfRule>
  </conditionalFormatting>
  <conditionalFormatting sqref="B191">
    <cfRule type="cellIs" dxfId="51" priority="409" stopIfTrue="1" operator="equal">
      <formula>0</formula>
    </cfRule>
  </conditionalFormatting>
  <conditionalFormatting sqref="B317">
    <cfRule type="cellIs" dxfId="50" priority="379" stopIfTrue="1" operator="equal">
      <formula>0</formula>
    </cfRule>
  </conditionalFormatting>
  <conditionalFormatting sqref="B328">
    <cfRule type="cellIs" dxfId="49" priority="376" stopIfTrue="1" operator="equal">
      <formula>0</formula>
    </cfRule>
  </conditionalFormatting>
  <conditionalFormatting sqref="B339">
    <cfRule type="cellIs" dxfId="48" priority="373" stopIfTrue="1" operator="equal">
      <formula>0</formula>
    </cfRule>
  </conditionalFormatting>
  <conditionalFormatting sqref="B350">
    <cfRule type="cellIs" dxfId="47" priority="370" stopIfTrue="1" operator="equal">
      <formula>0</formula>
    </cfRule>
  </conditionalFormatting>
  <conditionalFormatting sqref="B361">
    <cfRule type="cellIs" dxfId="46" priority="367" stopIfTrue="1" operator="equal">
      <formula>0</formula>
    </cfRule>
  </conditionalFormatting>
  <conditionalFormatting sqref="B375">
    <cfRule type="cellIs" dxfId="45" priority="364" stopIfTrue="1" operator="equal">
      <formula>0</formula>
    </cfRule>
  </conditionalFormatting>
  <conditionalFormatting sqref="B270">
    <cfRule type="cellIs" dxfId="44" priority="361" stopIfTrue="1" operator="equal">
      <formula>0</formula>
    </cfRule>
  </conditionalFormatting>
  <conditionalFormatting sqref="B392">
    <cfRule type="cellIs" dxfId="43" priority="358" stopIfTrue="1" operator="equal">
      <formula>0</formula>
    </cfRule>
  </conditionalFormatting>
  <conditionalFormatting sqref="B428">
    <cfRule type="cellIs" dxfId="42" priority="355" stopIfTrue="1" operator="equal">
      <formula>0</formula>
    </cfRule>
  </conditionalFormatting>
  <conditionalFormatting sqref="B440">
    <cfRule type="cellIs" dxfId="41" priority="352" stopIfTrue="1" operator="equal">
      <formula>0</formula>
    </cfRule>
  </conditionalFormatting>
  <conditionalFormatting sqref="B532">
    <cfRule type="cellIs" dxfId="40" priority="349" stopIfTrue="1" operator="equal">
      <formula>0</formula>
    </cfRule>
  </conditionalFormatting>
  <conditionalFormatting sqref="B544">
    <cfRule type="cellIs" dxfId="39" priority="346" stopIfTrue="1" operator="equal">
      <formula>0</formula>
    </cfRule>
  </conditionalFormatting>
  <conditionalFormatting sqref="B557">
    <cfRule type="cellIs" dxfId="38" priority="343" stopIfTrue="1" operator="equal">
      <formula>0</formula>
    </cfRule>
  </conditionalFormatting>
  <conditionalFormatting sqref="B571">
    <cfRule type="cellIs" dxfId="37" priority="340" stopIfTrue="1" operator="equal">
      <formula>0</formula>
    </cfRule>
  </conditionalFormatting>
  <conditionalFormatting sqref="B583">
    <cfRule type="cellIs" dxfId="36" priority="337" stopIfTrue="1" operator="equal">
      <formula>0</formula>
    </cfRule>
  </conditionalFormatting>
  <conditionalFormatting sqref="B105">
    <cfRule type="cellIs" dxfId="35" priority="191" stopIfTrue="1" operator="equal">
      <formula>0</formula>
    </cfRule>
  </conditionalFormatting>
  <conditionalFormatting sqref="B636">
    <cfRule type="cellIs" dxfId="34" priority="170" stopIfTrue="1" operator="equal">
      <formula>0</formula>
    </cfRule>
  </conditionalFormatting>
  <conditionalFormatting sqref="B451">
    <cfRule type="cellIs" dxfId="33" priority="167" stopIfTrue="1" operator="equal">
      <formula>0</formula>
    </cfRule>
  </conditionalFormatting>
  <conditionalFormatting sqref="B475">
    <cfRule type="cellIs" dxfId="32" priority="164" stopIfTrue="1" operator="equal">
      <formula>0</formula>
    </cfRule>
  </conditionalFormatting>
  <conditionalFormatting sqref="B486">
    <cfRule type="cellIs" dxfId="31" priority="161" stopIfTrue="1" operator="equal">
      <formula>0</formula>
    </cfRule>
  </conditionalFormatting>
  <conditionalFormatting sqref="B498">
    <cfRule type="cellIs" dxfId="30" priority="158" stopIfTrue="1" operator="equal">
      <formula>0</formula>
    </cfRule>
  </conditionalFormatting>
  <conditionalFormatting sqref="B462">
    <cfRule type="cellIs" dxfId="29" priority="155" stopIfTrue="1" operator="equal">
      <formula>0</formula>
    </cfRule>
  </conditionalFormatting>
  <conditionalFormatting sqref="B509">
    <cfRule type="cellIs" dxfId="28" priority="152" stopIfTrue="1" operator="equal">
      <formula>0</formula>
    </cfRule>
  </conditionalFormatting>
  <conditionalFormatting sqref="B520">
    <cfRule type="cellIs" dxfId="27" priority="149" stopIfTrue="1" operator="equal">
      <formula>0</formula>
    </cfRule>
  </conditionalFormatting>
  <conditionalFormatting sqref="B65">
    <cfRule type="cellIs" dxfId="26" priority="146" stopIfTrue="1" operator="equal">
      <formula>0</formula>
    </cfRule>
  </conditionalFormatting>
  <conditionalFormatting sqref="B85">
    <cfRule type="cellIs" dxfId="25" priority="143" stopIfTrue="1" operator="equal">
      <formula>0</formula>
    </cfRule>
  </conditionalFormatting>
  <conditionalFormatting sqref="B96">
    <cfRule type="cellIs" dxfId="24" priority="140" stopIfTrue="1" operator="equal">
      <formula>0</formula>
    </cfRule>
  </conditionalFormatting>
  <conditionalFormatting sqref="B147">
    <cfRule type="cellIs" dxfId="23" priority="137" stopIfTrue="1" operator="equal">
      <formula>0</formula>
    </cfRule>
  </conditionalFormatting>
  <conditionalFormatting sqref="B158">
    <cfRule type="cellIs" dxfId="22" priority="134" stopIfTrue="1" operator="equal">
      <formula>0</formula>
    </cfRule>
  </conditionalFormatting>
  <conditionalFormatting sqref="B180">
    <cfRule type="cellIs" dxfId="21" priority="131" stopIfTrue="1" operator="equal">
      <formula>0</formula>
    </cfRule>
  </conditionalFormatting>
  <conditionalFormatting sqref="B202">
    <cfRule type="cellIs" dxfId="20" priority="128" stopIfTrue="1" operator="equal">
      <formula>0</formula>
    </cfRule>
  </conditionalFormatting>
  <conditionalFormatting sqref="B261">
    <cfRule type="cellIs" dxfId="19" priority="113" stopIfTrue="1" operator="equal">
      <formula>0</formula>
    </cfRule>
  </conditionalFormatting>
  <conditionalFormatting sqref="I1678">
    <cfRule type="cellIs" dxfId="18" priority="27" stopIfTrue="1" operator="equal">
      <formula>0</formula>
    </cfRule>
  </conditionalFormatting>
  <conditionalFormatting sqref="B1678">
    <cfRule type="cellIs" dxfId="17" priority="29" stopIfTrue="1" operator="equal">
      <formula>0</formula>
    </cfRule>
  </conditionalFormatting>
  <conditionalFormatting sqref="I1678">
    <cfRule type="cellIs" dxfId="16" priority="28" stopIfTrue="1" operator="equal">
      <formula>0</formula>
    </cfRule>
  </conditionalFormatting>
  <conditionalFormatting sqref="I1700">
    <cfRule type="cellIs" dxfId="15" priority="24" stopIfTrue="1" operator="equal">
      <formula>0</formula>
    </cfRule>
  </conditionalFormatting>
  <conditionalFormatting sqref="B1700">
    <cfRule type="cellIs" dxfId="14" priority="26" stopIfTrue="1" operator="equal">
      <formula>0</formula>
    </cfRule>
  </conditionalFormatting>
  <conditionalFormatting sqref="I1700">
    <cfRule type="cellIs" dxfId="13" priority="25" stopIfTrue="1" operator="equal">
      <formula>0</formula>
    </cfRule>
  </conditionalFormatting>
  <conditionalFormatting sqref="I1717">
    <cfRule type="cellIs" dxfId="12" priority="21" stopIfTrue="1" operator="equal">
      <formula>0</formula>
    </cfRule>
  </conditionalFormatting>
  <conditionalFormatting sqref="B1717">
    <cfRule type="cellIs" dxfId="11" priority="23" stopIfTrue="1" operator="equal">
      <formula>0</formula>
    </cfRule>
  </conditionalFormatting>
  <conditionalFormatting sqref="I1717">
    <cfRule type="cellIs" dxfId="10" priority="22" stopIfTrue="1" operator="equal">
      <formula>0</formula>
    </cfRule>
  </conditionalFormatting>
  <conditionalFormatting sqref="B279">
    <cfRule type="cellIs" dxfId="9" priority="20" stopIfTrue="1" operator="equal">
      <formula>0</formula>
    </cfRule>
  </conditionalFormatting>
  <conditionalFormatting sqref="B288">
    <cfRule type="cellIs" dxfId="8" priority="17" stopIfTrue="1" operator="equal">
      <formula>0</formula>
    </cfRule>
  </conditionalFormatting>
  <conditionalFormatting sqref="B297">
    <cfRule type="cellIs" dxfId="7" priority="14" stopIfTrue="1" operator="equal">
      <formula>0</formula>
    </cfRule>
  </conditionalFormatting>
  <conditionalFormatting sqref="B306">
    <cfRule type="cellIs" dxfId="6" priority="11" stopIfTrue="1" operator="equal">
      <formula>0</formula>
    </cfRule>
  </conditionalFormatting>
  <conditionalFormatting sqref="I65">
    <cfRule type="cellIs" dxfId="5" priority="5" stopIfTrue="1" operator="equal">
      <formula>0</formula>
    </cfRule>
  </conditionalFormatting>
  <conditionalFormatting sqref="I65">
    <cfRule type="cellIs" dxfId="4" priority="6" stopIfTrue="1" operator="equal">
      <formula>0</formula>
    </cfRule>
  </conditionalFormatting>
  <conditionalFormatting sqref="B114">
    <cfRule type="cellIs" dxfId="3" priority="4" stopIfTrue="1" operator="equal">
      <formula>0</formula>
    </cfRule>
  </conditionalFormatting>
  <conditionalFormatting sqref="I1727">
    <cfRule type="cellIs" dxfId="2" priority="1" stopIfTrue="1" operator="equal">
      <formula>0</formula>
    </cfRule>
  </conditionalFormatting>
  <conditionalFormatting sqref="B1727">
    <cfRule type="cellIs" dxfId="1" priority="3" stopIfTrue="1" operator="equal">
      <formula>0</formula>
    </cfRule>
  </conditionalFormatting>
  <conditionalFormatting sqref="I1727">
    <cfRule type="cellIs" dxfId="0" priority="2" stopIfTrue="1" operator="equal">
      <formula>0</formula>
    </cfRule>
  </conditionalFormatting>
  <pageMargins left="0.51181102362204722" right="0.51181102362204722" top="1.1811023622047245" bottom="0.78740157480314965" header="0.31496062992125984" footer="0.31496062992125984"/>
  <pageSetup paperSize="9" scale="44" fitToHeight="0" orientation="landscape" r:id="rId1"/>
  <headerFooter>
    <oddHeader>&amp;L&amp;G</oddHeader>
    <oddFooter>&amp;RANEXO I - 24/24</oddFooter>
  </headerFooter>
  <ignoredErrors>
    <ignoredError sqref="G1670" formula="1"/>
    <ignoredError sqref="B4 B50 B70 B110 B255 B467 B480 B625 B675 B686 B697 B708 B719 B750 B1090 B1112 B1124 B1140 B1151 B1160 B1208 B1258 B1285 B1312 B1339 B1378 B1399 B1420 B1436 B1452 B1470 B1590 B1643 B1661 B1683 B1705 B90 B207 B218 B230 B242 B311 B322 B333 B355 B366 B380 B397 B433 B525 B537 B549 B562 B576 B588 B641 B730 B740 B761 B779 B791 B803 B815 B829 B849 B858 B874 B893 B904 B915 B925 B935 B946 B957 B968 B980 B1038 B1067 B1078 B141 B130 B119 B101 B31 B17 B152 B163 B174 B185 B196 B344 C418:C424 B445 B456 B491 B503 B514 B653 B664 B1022 B1101 B1132 B1196 B1225 B1366 B1489 B1508 B1525 B1542 B1558 B1574 B1610 B1628 B998 B1722" numberStoredAsText="1"/>
  </ignoredError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2244F4-F7D0-4B5B-BC51-F0AD3DABBD73}">
  <dimension ref="A1:F61"/>
  <sheetViews>
    <sheetView zoomScaleNormal="100" workbookViewId="0">
      <selection activeCell="E61" sqref="A1:E61"/>
    </sheetView>
  </sheetViews>
  <sheetFormatPr defaultColWidth="7.69921875" defaultRowHeight="13.2" x14ac:dyDescent="0.25"/>
  <cols>
    <col min="1" max="1" width="30.09765625" style="6" customWidth="1"/>
    <col min="2" max="5" width="11.09765625" style="6" customWidth="1"/>
    <col min="6" max="16384" width="7.69921875" style="6"/>
  </cols>
  <sheetData>
    <row r="1" spans="1:5" ht="48" customHeight="1" x14ac:dyDescent="0.25">
      <c r="A1" s="342" t="s">
        <v>557</v>
      </c>
      <c r="B1" s="343"/>
      <c r="C1" s="343"/>
      <c r="D1" s="343"/>
      <c r="E1" s="344"/>
    </row>
    <row r="2" spans="1:5" ht="12.75" customHeight="1" x14ac:dyDescent="0.25">
      <c r="A2" s="7"/>
      <c r="B2" s="7"/>
      <c r="C2" s="7"/>
      <c r="D2" s="7"/>
      <c r="E2" s="7"/>
    </row>
    <row r="3" spans="1:5" ht="15.75" customHeight="1" x14ac:dyDescent="0.25">
      <c r="A3" s="345" t="s">
        <v>558</v>
      </c>
      <c r="B3" s="346"/>
      <c r="C3" s="346"/>
      <c r="D3" s="346"/>
      <c r="E3" s="347"/>
    </row>
    <row r="4" spans="1:5" ht="14.25" customHeight="1" x14ac:dyDescent="0.25">
      <c r="A4" s="8"/>
      <c r="B4" s="8"/>
      <c r="C4" s="8"/>
      <c r="D4" s="8"/>
      <c r="E4" s="8"/>
    </row>
    <row r="5" spans="1:5" x14ac:dyDescent="0.25">
      <c r="A5" s="9" t="s">
        <v>0</v>
      </c>
      <c r="B5" s="10" t="s">
        <v>559</v>
      </c>
      <c r="C5" s="10" t="s">
        <v>560</v>
      </c>
      <c r="D5" s="10" t="s">
        <v>561</v>
      </c>
      <c r="E5" s="10" t="s">
        <v>562</v>
      </c>
    </row>
    <row r="6" spans="1:5" x14ac:dyDescent="0.25">
      <c r="A6" s="11" t="s">
        <v>563</v>
      </c>
      <c r="B6" s="12">
        <v>3</v>
      </c>
      <c r="C6" s="12">
        <v>4</v>
      </c>
      <c r="D6" s="12">
        <v>5.5</v>
      </c>
      <c r="E6" s="13">
        <v>3</v>
      </c>
    </row>
    <row r="7" spans="1:5" x14ac:dyDescent="0.25">
      <c r="A7" s="11" t="s">
        <v>564</v>
      </c>
      <c r="B7" s="12">
        <v>0.8</v>
      </c>
      <c r="C7" s="12">
        <v>0.8</v>
      </c>
      <c r="D7" s="12">
        <v>1</v>
      </c>
      <c r="E7" s="13">
        <v>0.8</v>
      </c>
    </row>
    <row r="8" spans="1:5" x14ac:dyDescent="0.25">
      <c r="A8" s="11" t="s">
        <v>565</v>
      </c>
      <c r="B8" s="12">
        <v>0.97</v>
      </c>
      <c r="C8" s="12">
        <v>1.27</v>
      </c>
      <c r="D8" s="12">
        <v>1.27</v>
      </c>
      <c r="E8" s="13">
        <v>0.97</v>
      </c>
    </row>
    <row r="9" spans="1:5" x14ac:dyDescent="0.25">
      <c r="A9" s="11" t="s">
        <v>566</v>
      </c>
      <c r="B9" s="12">
        <v>0.59</v>
      </c>
      <c r="C9" s="12">
        <v>1.23</v>
      </c>
      <c r="D9" s="12">
        <v>1.39</v>
      </c>
      <c r="E9" s="13">
        <v>0.59</v>
      </c>
    </row>
    <row r="10" spans="1:5" x14ac:dyDescent="0.25">
      <c r="A10" s="11" t="s">
        <v>567</v>
      </c>
      <c r="B10" s="12">
        <v>6.16</v>
      </c>
      <c r="C10" s="12">
        <v>7.4</v>
      </c>
      <c r="D10" s="12">
        <v>8.9600000000000009</v>
      </c>
      <c r="E10" s="13">
        <v>6.16</v>
      </c>
    </row>
    <row r="11" spans="1:5" x14ac:dyDescent="0.25">
      <c r="A11" s="11" t="s">
        <v>568</v>
      </c>
      <c r="B11" s="14">
        <f>SUM(B12:B15)</f>
        <v>10.15</v>
      </c>
      <c r="C11" s="14">
        <f>SUM(C12:C15)</f>
        <v>10.15</v>
      </c>
      <c r="D11" s="14">
        <f>SUM(D12:D15)</f>
        <v>10.15</v>
      </c>
      <c r="E11" s="13">
        <f>SUM(E12:E15)</f>
        <v>10.15</v>
      </c>
    </row>
    <row r="12" spans="1:5" x14ac:dyDescent="0.25">
      <c r="A12" s="11" t="s">
        <v>569</v>
      </c>
      <c r="B12" s="12">
        <v>0.65</v>
      </c>
      <c r="C12" s="12">
        <v>0.65</v>
      </c>
      <c r="D12" s="12">
        <v>0.65</v>
      </c>
      <c r="E12" s="13">
        <v>0.65</v>
      </c>
    </row>
    <row r="13" spans="1:5" x14ac:dyDescent="0.25">
      <c r="A13" s="11" t="s">
        <v>570</v>
      </c>
      <c r="B13" s="12">
        <v>3</v>
      </c>
      <c r="C13" s="12">
        <v>3</v>
      </c>
      <c r="D13" s="12">
        <v>3</v>
      </c>
      <c r="E13" s="13">
        <v>3</v>
      </c>
    </row>
    <row r="14" spans="1:5" x14ac:dyDescent="0.25">
      <c r="A14" s="11" t="s">
        <v>571</v>
      </c>
      <c r="B14" s="12">
        <v>4.5</v>
      </c>
      <c r="C14" s="12">
        <v>4.5</v>
      </c>
      <c r="D14" s="12">
        <v>4.5</v>
      </c>
      <c r="E14" s="13">
        <v>4.5</v>
      </c>
    </row>
    <row r="15" spans="1:5" x14ac:dyDescent="0.25">
      <c r="A15" s="11" t="s">
        <v>577</v>
      </c>
      <c r="B15" s="12">
        <v>2</v>
      </c>
      <c r="C15" s="12">
        <v>2</v>
      </c>
      <c r="D15" s="12">
        <v>2</v>
      </c>
      <c r="E15" s="13">
        <v>2</v>
      </c>
    </row>
    <row r="16" spans="1:5" x14ac:dyDescent="0.25">
      <c r="B16" s="15"/>
      <c r="C16" s="15"/>
      <c r="D16" s="15"/>
      <c r="E16" s="15"/>
    </row>
    <row r="17" spans="1:5" x14ac:dyDescent="0.25">
      <c r="A17" s="348" t="s">
        <v>572</v>
      </c>
      <c r="B17" s="348"/>
      <c r="C17" s="348"/>
      <c r="D17" s="348"/>
      <c r="E17" s="348"/>
    </row>
    <row r="18" spans="1:5" ht="55.2" customHeight="1" x14ac:dyDescent="0.25">
      <c r="A18" s="349" t="s">
        <v>578</v>
      </c>
      <c r="B18" s="349"/>
      <c r="C18" s="349"/>
      <c r="D18" s="349"/>
      <c r="E18" s="349"/>
    </row>
    <row r="19" spans="1:5" x14ac:dyDescent="0.25">
      <c r="B19" s="15"/>
      <c r="C19" s="15"/>
      <c r="D19" s="15"/>
      <c r="E19" s="16"/>
    </row>
    <row r="20" spans="1:5" x14ac:dyDescent="0.25">
      <c r="A20" s="350" t="s">
        <v>573</v>
      </c>
      <c r="B20" s="351"/>
      <c r="C20" s="351"/>
      <c r="D20" s="351"/>
      <c r="E20" s="352"/>
    </row>
    <row r="21" spans="1:5" ht="13.8" thickBot="1" x14ac:dyDescent="0.3"/>
    <row r="22" spans="1:5" ht="13.8" thickTop="1" x14ac:dyDescent="0.25">
      <c r="A22" s="353" t="s">
        <v>574</v>
      </c>
      <c r="B22" s="354"/>
      <c r="C22" s="354"/>
      <c r="D22" s="354"/>
      <c r="E22" s="354"/>
    </row>
    <row r="23" spans="1:5" x14ac:dyDescent="0.25">
      <c r="A23" s="355"/>
      <c r="B23" s="356"/>
      <c r="C23" s="356"/>
      <c r="D23" s="356"/>
      <c r="E23" s="356"/>
    </row>
    <row r="24" spans="1:5" ht="13.8" thickBot="1" x14ac:dyDescent="0.3">
      <c r="A24" s="357"/>
      <c r="B24" s="358"/>
      <c r="C24" s="358"/>
      <c r="D24" s="358"/>
      <c r="E24" s="358"/>
    </row>
    <row r="25" spans="1:5" ht="13.8" hidden="1" thickTop="1" x14ac:dyDescent="0.25">
      <c r="A25" s="6">
        <f t="shared" ref="A25:A30" si="0">E6/100</f>
        <v>0.03</v>
      </c>
    </row>
    <row r="26" spans="1:5" ht="13.8" hidden="1" thickTop="1" x14ac:dyDescent="0.25">
      <c r="A26" s="6">
        <f t="shared" si="0"/>
        <v>8.0000000000000002E-3</v>
      </c>
    </row>
    <row r="27" spans="1:5" ht="13.8" hidden="1" thickTop="1" x14ac:dyDescent="0.25">
      <c r="A27" s="6">
        <f t="shared" si="0"/>
        <v>9.7000000000000003E-3</v>
      </c>
    </row>
    <row r="28" spans="1:5" ht="13.8" hidden="1" thickTop="1" x14ac:dyDescent="0.25">
      <c r="A28" s="6">
        <f t="shared" si="0"/>
        <v>5.8999999999999999E-3</v>
      </c>
    </row>
    <row r="29" spans="1:5" ht="13.8" hidden="1" thickTop="1" x14ac:dyDescent="0.25">
      <c r="A29" s="6">
        <f t="shared" si="0"/>
        <v>6.1600000000000002E-2</v>
      </c>
    </row>
    <row r="30" spans="1:5" ht="13.8" hidden="1" thickTop="1" x14ac:dyDescent="0.25">
      <c r="A30" s="6">
        <f t="shared" si="0"/>
        <v>0.10150000000000001</v>
      </c>
    </row>
    <row r="31" spans="1:5" ht="13.8" thickTop="1" x14ac:dyDescent="0.25"/>
    <row r="32" spans="1:5" x14ac:dyDescent="0.25">
      <c r="A32" s="341" t="s">
        <v>575</v>
      </c>
      <c r="B32" s="341"/>
      <c r="C32" s="17"/>
      <c r="D32" s="18"/>
      <c r="E32" s="19">
        <f>((1+(A25+A26+A27))*(1+A28)*(1+A29)/(1-A30))-1</f>
        <v>0.24518700733222065</v>
      </c>
    </row>
    <row r="33" spans="1:6" x14ac:dyDescent="0.25">
      <c r="A33" s="359"/>
      <c r="B33" s="359"/>
      <c r="C33" s="359"/>
      <c r="D33" s="359"/>
      <c r="E33" s="359"/>
      <c r="F33" s="20"/>
    </row>
    <row r="35" spans="1:6" x14ac:dyDescent="0.25">
      <c r="A35" s="345" t="s">
        <v>576</v>
      </c>
      <c r="B35" s="346"/>
      <c r="C35" s="346"/>
      <c r="D35" s="346"/>
      <c r="E35" s="347"/>
    </row>
    <row r="36" spans="1:6" x14ac:dyDescent="0.25">
      <c r="A36" s="8"/>
      <c r="B36" s="8"/>
      <c r="C36" s="8"/>
      <c r="D36" s="8"/>
      <c r="E36" s="8"/>
    </row>
    <row r="37" spans="1:6" x14ac:dyDescent="0.25">
      <c r="A37" s="9" t="s">
        <v>0</v>
      </c>
      <c r="B37" s="10" t="s">
        <v>559</v>
      </c>
      <c r="C37" s="10" t="s">
        <v>560</v>
      </c>
      <c r="D37" s="10" t="s">
        <v>561</v>
      </c>
      <c r="E37" s="10" t="s">
        <v>562</v>
      </c>
    </row>
    <row r="38" spans="1:6" x14ac:dyDescent="0.25">
      <c r="A38" s="11" t="s">
        <v>563</v>
      </c>
      <c r="B38" s="12">
        <v>1.5</v>
      </c>
      <c r="C38" s="12">
        <v>3.45</v>
      </c>
      <c r="D38" s="12">
        <v>4.49</v>
      </c>
      <c r="E38" s="13">
        <v>1.5</v>
      </c>
    </row>
    <row r="39" spans="1:6" x14ac:dyDescent="0.25">
      <c r="A39" s="11" t="s">
        <v>564</v>
      </c>
      <c r="B39" s="12">
        <v>0.3</v>
      </c>
      <c r="C39" s="12">
        <v>0.48</v>
      </c>
      <c r="D39" s="12">
        <v>0.82</v>
      </c>
      <c r="E39" s="13">
        <v>0.3</v>
      </c>
    </row>
    <row r="40" spans="1:6" x14ac:dyDescent="0.25">
      <c r="A40" s="11" t="s">
        <v>565</v>
      </c>
      <c r="B40" s="12">
        <v>0.56000000000000005</v>
      </c>
      <c r="C40" s="12">
        <v>0.85</v>
      </c>
      <c r="D40" s="12">
        <v>0.89</v>
      </c>
      <c r="E40" s="13">
        <v>0.56000000000000005</v>
      </c>
    </row>
    <row r="41" spans="1:6" x14ac:dyDescent="0.25">
      <c r="A41" s="11" t="s">
        <v>566</v>
      </c>
      <c r="B41" s="12">
        <v>0.59</v>
      </c>
      <c r="C41" s="12">
        <v>0.85</v>
      </c>
      <c r="D41" s="12">
        <v>1.39</v>
      </c>
      <c r="E41" s="13">
        <v>0.59</v>
      </c>
    </row>
    <row r="42" spans="1:6" x14ac:dyDescent="0.25">
      <c r="A42" s="11" t="s">
        <v>567</v>
      </c>
      <c r="B42" s="12">
        <v>3.5</v>
      </c>
      <c r="C42" s="12">
        <v>5.1100000000000003</v>
      </c>
      <c r="D42" s="12">
        <v>6.22</v>
      </c>
      <c r="E42" s="13">
        <v>3.5</v>
      </c>
    </row>
    <row r="43" spans="1:6" x14ac:dyDescent="0.25">
      <c r="A43" s="11" t="s">
        <v>568</v>
      </c>
      <c r="B43" s="14">
        <f>SUM(B44:B46)</f>
        <v>8.15</v>
      </c>
      <c r="C43" s="14">
        <f>SUM(C44:C46)</f>
        <v>8.15</v>
      </c>
      <c r="D43" s="14">
        <f>SUM(D44:D46)</f>
        <v>8.15</v>
      </c>
      <c r="E43" s="13">
        <f>SUM(E44:E46)</f>
        <v>8.15</v>
      </c>
    </row>
    <row r="44" spans="1:6" x14ac:dyDescent="0.25">
      <c r="A44" s="11" t="s">
        <v>569</v>
      </c>
      <c r="B44" s="12">
        <v>0.65</v>
      </c>
      <c r="C44" s="12">
        <v>0.65</v>
      </c>
      <c r="D44" s="12">
        <v>0.65</v>
      </c>
      <c r="E44" s="13">
        <v>0.65</v>
      </c>
    </row>
    <row r="45" spans="1:6" x14ac:dyDescent="0.25">
      <c r="A45" s="11" t="s">
        <v>571</v>
      </c>
      <c r="B45" s="12">
        <v>4.5</v>
      </c>
      <c r="C45" s="12">
        <v>4.5</v>
      </c>
      <c r="D45" s="12">
        <v>4.5</v>
      </c>
      <c r="E45" s="13">
        <v>4.5</v>
      </c>
    </row>
    <row r="46" spans="1:6" x14ac:dyDescent="0.25">
      <c r="A46" s="11" t="s">
        <v>570</v>
      </c>
      <c r="B46" s="12">
        <v>3</v>
      </c>
      <c r="C46" s="12">
        <v>3</v>
      </c>
      <c r="D46" s="12">
        <v>3</v>
      </c>
      <c r="E46" s="13">
        <v>3</v>
      </c>
    </row>
    <row r="47" spans="1:6" x14ac:dyDescent="0.25">
      <c r="B47" s="15"/>
      <c r="C47" s="15"/>
      <c r="D47" s="15"/>
      <c r="E47" s="15"/>
    </row>
    <row r="48" spans="1:6" x14ac:dyDescent="0.25">
      <c r="B48" s="15"/>
      <c r="C48" s="15"/>
      <c r="D48" s="15"/>
      <c r="E48" s="16"/>
    </row>
    <row r="49" spans="1:5" x14ac:dyDescent="0.25">
      <c r="A49" s="350" t="s">
        <v>573</v>
      </c>
      <c r="B49" s="351"/>
      <c r="C49" s="351"/>
      <c r="D49" s="351"/>
      <c r="E49" s="352"/>
    </row>
    <row r="50" spans="1:5" ht="13.8" thickBot="1" x14ac:dyDescent="0.3"/>
    <row r="51" spans="1:5" ht="13.8" thickTop="1" x14ac:dyDescent="0.25">
      <c r="A51" s="353" t="s">
        <v>574</v>
      </c>
      <c r="B51" s="354"/>
      <c r="C51" s="354"/>
      <c r="D51" s="354"/>
      <c r="E51" s="354"/>
    </row>
    <row r="52" spans="1:5" x14ac:dyDescent="0.25">
      <c r="A52" s="355"/>
      <c r="B52" s="356"/>
      <c r="C52" s="356"/>
      <c r="D52" s="356"/>
      <c r="E52" s="356"/>
    </row>
    <row r="53" spans="1:5" ht="13.8" thickBot="1" x14ac:dyDescent="0.3">
      <c r="A53" s="357"/>
      <c r="B53" s="358"/>
      <c r="C53" s="358"/>
      <c r="D53" s="358"/>
      <c r="E53" s="358"/>
    </row>
    <row r="54" spans="1:5" ht="13.8" hidden="1" thickTop="1" x14ac:dyDescent="0.25">
      <c r="A54" s="6">
        <f t="shared" ref="A54:A59" si="1">E38/100</f>
        <v>1.4999999999999999E-2</v>
      </c>
    </row>
    <row r="55" spans="1:5" ht="13.8" hidden="1" thickTop="1" x14ac:dyDescent="0.25">
      <c r="A55" s="6">
        <f t="shared" si="1"/>
        <v>3.0000000000000001E-3</v>
      </c>
    </row>
    <row r="56" spans="1:5" ht="13.8" hidden="1" thickTop="1" x14ac:dyDescent="0.25">
      <c r="A56" s="6">
        <f t="shared" si="1"/>
        <v>5.6000000000000008E-3</v>
      </c>
    </row>
    <row r="57" spans="1:5" ht="13.8" hidden="1" thickTop="1" x14ac:dyDescent="0.25">
      <c r="A57" s="6">
        <f t="shared" si="1"/>
        <v>5.8999999999999999E-3</v>
      </c>
    </row>
    <row r="58" spans="1:5" ht="13.8" hidden="1" thickTop="1" x14ac:dyDescent="0.25">
      <c r="A58" s="6">
        <f t="shared" si="1"/>
        <v>3.5000000000000003E-2</v>
      </c>
    </row>
    <row r="59" spans="1:5" ht="13.8" hidden="1" thickTop="1" x14ac:dyDescent="0.25">
      <c r="A59" s="6">
        <f t="shared" si="1"/>
        <v>8.1500000000000003E-2</v>
      </c>
    </row>
    <row r="60" spans="1:5" ht="13.8" thickTop="1" x14ac:dyDescent="0.25"/>
    <row r="61" spans="1:5" x14ac:dyDescent="0.25">
      <c r="A61" s="341" t="s">
        <v>575</v>
      </c>
      <c r="B61" s="341"/>
      <c r="C61" s="58"/>
      <c r="D61" s="18"/>
      <c r="E61" s="19">
        <f>((1+(A54+A55+A56))*(1+A57)*(1+A58)/(1-A59))-1</f>
        <v>0.16023583385955353</v>
      </c>
    </row>
  </sheetData>
  <sheetProtection selectLockedCells="1" selectUnlockedCells="1"/>
  <mergeCells count="12">
    <mergeCell ref="A61:B61"/>
    <mergeCell ref="A1:E1"/>
    <mergeCell ref="A3:E3"/>
    <mergeCell ref="A17:E17"/>
    <mergeCell ref="A18:E18"/>
    <mergeCell ref="A20:E20"/>
    <mergeCell ref="A22:E24"/>
    <mergeCell ref="A32:B32"/>
    <mergeCell ref="A33:E33"/>
    <mergeCell ref="A35:E35"/>
    <mergeCell ref="A49:E49"/>
    <mergeCell ref="A51:E53"/>
  </mergeCells>
  <pageMargins left="0.78740157480314965" right="0.78740157480314965" top="0.59055118110236227" bottom="0.59055118110236227" header="0.31496062992125984" footer="0.31496062992125984"/>
  <pageSetup paperSize="9" orientation="portrait" horizontalDpi="4294967293" vertic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F076FA-68CC-48C1-9385-2E20206C06F4}">
  <sheetPr>
    <pageSetUpPr fitToPage="1"/>
  </sheetPr>
  <dimension ref="C1:AF53"/>
  <sheetViews>
    <sheetView topLeftCell="E4" zoomScale="80" zoomScaleNormal="80" workbookViewId="0">
      <selection activeCell="Y47" sqref="C2:AD47"/>
    </sheetView>
  </sheetViews>
  <sheetFormatPr defaultRowHeight="13.2" x14ac:dyDescent="0.25"/>
  <cols>
    <col min="1" max="2" width="5.5" style="228" customWidth="1"/>
    <col min="3" max="3" width="4.59765625" style="228" bestFit="1" customWidth="1"/>
    <col min="4" max="4" width="9.09765625" style="228" customWidth="1"/>
    <col min="5" max="5" width="16.5" style="228" customWidth="1"/>
    <col min="6" max="6" width="8.69921875" style="228" bestFit="1" customWidth="1"/>
    <col min="7" max="7" width="8.5" style="228" customWidth="1"/>
    <col min="8" max="8" width="9.3984375" style="228" customWidth="1"/>
    <col min="9" max="16" width="8.8984375" style="228" bestFit="1" customWidth="1"/>
    <col min="17" max="17" width="9" style="228" bestFit="1" customWidth="1"/>
    <col min="18" max="19" width="8.5" style="228" customWidth="1"/>
    <col min="20" max="20" width="9" style="228" bestFit="1" customWidth="1"/>
    <col min="21" max="22" width="8.8984375" style="228" bestFit="1" customWidth="1"/>
    <col min="23" max="24" width="9" style="228" bestFit="1" customWidth="1"/>
    <col min="25" max="26" width="8.5" style="228" customWidth="1"/>
    <col min="27" max="30" width="9" style="228"/>
    <col min="31" max="31" width="11.69921875" style="228" hidden="1" customWidth="1"/>
    <col min="32" max="32" width="10.59765625" style="228" hidden="1" customWidth="1"/>
    <col min="33" max="236" width="9" style="228"/>
    <col min="237" max="237" width="13.69921875" style="228" customWidth="1"/>
    <col min="238" max="238" width="9.8984375" style="228" bestFit="1" customWidth="1"/>
    <col min="239" max="252" width="9" style="228"/>
    <col min="253" max="253" width="9.8984375" style="228" bestFit="1" customWidth="1"/>
    <col min="254" max="492" width="9" style="228"/>
    <col min="493" max="493" width="13.69921875" style="228" customWidth="1"/>
    <col min="494" max="494" width="9.8984375" style="228" bestFit="1" customWidth="1"/>
    <col min="495" max="508" width="9" style="228"/>
    <col min="509" max="509" width="9.8984375" style="228" bestFit="1" customWidth="1"/>
    <col min="510" max="748" width="9" style="228"/>
    <col min="749" max="749" width="13.69921875" style="228" customWidth="1"/>
    <col min="750" max="750" width="9.8984375" style="228" bestFit="1" customWidth="1"/>
    <col min="751" max="764" width="9" style="228"/>
    <col min="765" max="765" width="9.8984375" style="228" bestFit="1" customWidth="1"/>
    <col min="766" max="1004" width="9" style="228"/>
    <col min="1005" max="1005" width="13.69921875" style="228" customWidth="1"/>
    <col min="1006" max="1006" width="9.8984375" style="228" bestFit="1" customWidth="1"/>
    <col min="1007" max="1020" width="9" style="228"/>
    <col min="1021" max="1021" width="9.8984375" style="228" bestFit="1" customWidth="1"/>
    <col min="1022" max="1260" width="9" style="228"/>
    <col min="1261" max="1261" width="13.69921875" style="228" customWidth="1"/>
    <col min="1262" max="1262" width="9.8984375" style="228" bestFit="1" customWidth="1"/>
    <col min="1263" max="1276" width="9" style="228"/>
    <col min="1277" max="1277" width="9.8984375" style="228" bestFit="1" customWidth="1"/>
    <col min="1278" max="1516" width="9" style="228"/>
    <col min="1517" max="1517" width="13.69921875" style="228" customWidth="1"/>
    <col min="1518" max="1518" width="9.8984375" style="228" bestFit="1" customWidth="1"/>
    <col min="1519" max="1532" width="9" style="228"/>
    <col min="1533" max="1533" width="9.8984375" style="228" bestFit="1" customWidth="1"/>
    <col min="1534" max="1772" width="9" style="228"/>
    <col min="1773" max="1773" width="13.69921875" style="228" customWidth="1"/>
    <col min="1774" max="1774" width="9.8984375" style="228" bestFit="1" customWidth="1"/>
    <col min="1775" max="1788" width="9" style="228"/>
    <col min="1789" max="1789" width="9.8984375" style="228" bestFit="1" customWidth="1"/>
    <col min="1790" max="2028" width="9" style="228"/>
    <col min="2029" max="2029" width="13.69921875" style="228" customWidth="1"/>
    <col min="2030" max="2030" width="9.8984375" style="228" bestFit="1" customWidth="1"/>
    <col min="2031" max="2044" width="9" style="228"/>
    <col min="2045" max="2045" width="9.8984375" style="228" bestFit="1" customWidth="1"/>
    <col min="2046" max="2284" width="9" style="228"/>
    <col min="2285" max="2285" width="13.69921875" style="228" customWidth="1"/>
    <col min="2286" max="2286" width="9.8984375" style="228" bestFit="1" customWidth="1"/>
    <col min="2287" max="2300" width="9" style="228"/>
    <col min="2301" max="2301" width="9.8984375" style="228" bestFit="1" customWidth="1"/>
    <col min="2302" max="2540" width="9" style="228"/>
    <col min="2541" max="2541" width="13.69921875" style="228" customWidth="1"/>
    <col min="2542" max="2542" width="9.8984375" style="228" bestFit="1" customWidth="1"/>
    <col min="2543" max="2556" width="9" style="228"/>
    <col min="2557" max="2557" width="9.8984375" style="228" bestFit="1" customWidth="1"/>
    <col min="2558" max="2796" width="9" style="228"/>
    <col min="2797" max="2797" width="13.69921875" style="228" customWidth="1"/>
    <col min="2798" max="2798" width="9.8984375" style="228" bestFit="1" customWidth="1"/>
    <col min="2799" max="2812" width="9" style="228"/>
    <col min="2813" max="2813" width="9.8984375" style="228" bestFit="1" customWidth="1"/>
    <col min="2814" max="3052" width="9" style="228"/>
    <col min="3053" max="3053" width="13.69921875" style="228" customWidth="1"/>
    <col min="3054" max="3054" width="9.8984375" style="228" bestFit="1" customWidth="1"/>
    <col min="3055" max="3068" width="9" style="228"/>
    <col min="3069" max="3069" width="9.8984375" style="228" bestFit="1" customWidth="1"/>
    <col min="3070" max="3308" width="9" style="228"/>
    <col min="3309" max="3309" width="13.69921875" style="228" customWidth="1"/>
    <col min="3310" max="3310" width="9.8984375" style="228" bestFit="1" customWidth="1"/>
    <col min="3311" max="3324" width="9" style="228"/>
    <col min="3325" max="3325" width="9.8984375" style="228" bestFit="1" customWidth="1"/>
    <col min="3326" max="3564" width="9" style="228"/>
    <col min="3565" max="3565" width="13.69921875" style="228" customWidth="1"/>
    <col min="3566" max="3566" width="9.8984375" style="228" bestFit="1" customWidth="1"/>
    <col min="3567" max="3580" width="9" style="228"/>
    <col min="3581" max="3581" width="9.8984375" style="228" bestFit="1" customWidth="1"/>
    <col min="3582" max="3820" width="9" style="228"/>
    <col min="3821" max="3821" width="13.69921875" style="228" customWidth="1"/>
    <col min="3822" max="3822" width="9.8984375" style="228" bestFit="1" customWidth="1"/>
    <col min="3823" max="3836" width="9" style="228"/>
    <col min="3837" max="3837" width="9.8984375" style="228" bestFit="1" customWidth="1"/>
    <col min="3838" max="4076" width="9" style="228"/>
    <col min="4077" max="4077" width="13.69921875" style="228" customWidth="1"/>
    <col min="4078" max="4078" width="9.8984375" style="228" bestFit="1" customWidth="1"/>
    <col min="4079" max="4092" width="9" style="228"/>
    <col min="4093" max="4093" width="9.8984375" style="228" bestFit="1" customWidth="1"/>
    <col min="4094" max="4332" width="9" style="228"/>
    <col min="4333" max="4333" width="13.69921875" style="228" customWidth="1"/>
    <col min="4334" max="4334" width="9.8984375" style="228" bestFit="1" customWidth="1"/>
    <col min="4335" max="4348" width="9" style="228"/>
    <col min="4349" max="4349" width="9.8984375" style="228" bestFit="1" customWidth="1"/>
    <col min="4350" max="4588" width="9" style="228"/>
    <col min="4589" max="4589" width="13.69921875" style="228" customWidth="1"/>
    <col min="4590" max="4590" width="9.8984375" style="228" bestFit="1" customWidth="1"/>
    <col min="4591" max="4604" width="9" style="228"/>
    <col min="4605" max="4605" width="9.8984375" style="228" bestFit="1" customWidth="1"/>
    <col min="4606" max="4844" width="9" style="228"/>
    <col min="4845" max="4845" width="13.69921875" style="228" customWidth="1"/>
    <col min="4846" max="4846" width="9.8984375" style="228" bestFit="1" customWidth="1"/>
    <col min="4847" max="4860" width="9" style="228"/>
    <col min="4861" max="4861" width="9.8984375" style="228" bestFit="1" customWidth="1"/>
    <col min="4862" max="5100" width="9" style="228"/>
    <col min="5101" max="5101" width="13.69921875" style="228" customWidth="1"/>
    <col min="5102" max="5102" width="9.8984375" style="228" bestFit="1" customWidth="1"/>
    <col min="5103" max="5116" width="9" style="228"/>
    <col min="5117" max="5117" width="9.8984375" style="228" bestFit="1" customWidth="1"/>
    <col min="5118" max="5356" width="9" style="228"/>
    <col min="5357" max="5357" width="13.69921875" style="228" customWidth="1"/>
    <col min="5358" max="5358" width="9.8984375" style="228" bestFit="1" customWidth="1"/>
    <col min="5359" max="5372" width="9" style="228"/>
    <col min="5373" max="5373" width="9.8984375" style="228" bestFit="1" customWidth="1"/>
    <col min="5374" max="5612" width="9" style="228"/>
    <col min="5613" max="5613" width="13.69921875" style="228" customWidth="1"/>
    <col min="5614" max="5614" width="9.8984375" style="228" bestFit="1" customWidth="1"/>
    <col min="5615" max="5628" width="9" style="228"/>
    <col min="5629" max="5629" width="9.8984375" style="228" bestFit="1" customWidth="1"/>
    <col min="5630" max="5868" width="9" style="228"/>
    <col min="5869" max="5869" width="13.69921875" style="228" customWidth="1"/>
    <col min="5870" max="5870" width="9.8984375" style="228" bestFit="1" customWidth="1"/>
    <col min="5871" max="5884" width="9" style="228"/>
    <col min="5885" max="5885" width="9.8984375" style="228" bestFit="1" customWidth="1"/>
    <col min="5886" max="6124" width="9" style="228"/>
    <col min="6125" max="6125" width="13.69921875" style="228" customWidth="1"/>
    <col min="6126" max="6126" width="9.8984375" style="228" bestFit="1" customWidth="1"/>
    <col min="6127" max="6140" width="9" style="228"/>
    <col min="6141" max="6141" width="9.8984375" style="228" bestFit="1" customWidth="1"/>
    <col min="6142" max="6380" width="9" style="228"/>
    <col min="6381" max="6381" width="13.69921875" style="228" customWidth="1"/>
    <col min="6382" max="6382" width="9.8984375" style="228" bestFit="1" customWidth="1"/>
    <col min="6383" max="6396" width="9" style="228"/>
    <col min="6397" max="6397" width="9.8984375" style="228" bestFit="1" customWidth="1"/>
    <col min="6398" max="6636" width="9" style="228"/>
    <col min="6637" max="6637" width="13.69921875" style="228" customWidth="1"/>
    <col min="6638" max="6638" width="9.8984375" style="228" bestFit="1" customWidth="1"/>
    <col min="6639" max="6652" width="9" style="228"/>
    <col min="6653" max="6653" width="9.8984375" style="228" bestFit="1" customWidth="1"/>
    <col min="6654" max="6892" width="9" style="228"/>
    <col min="6893" max="6893" width="13.69921875" style="228" customWidth="1"/>
    <col min="6894" max="6894" width="9.8984375" style="228" bestFit="1" customWidth="1"/>
    <col min="6895" max="6908" width="9" style="228"/>
    <col min="6909" max="6909" width="9.8984375" style="228" bestFit="1" customWidth="1"/>
    <col min="6910" max="7148" width="9" style="228"/>
    <col min="7149" max="7149" width="13.69921875" style="228" customWidth="1"/>
    <col min="7150" max="7150" width="9.8984375" style="228" bestFit="1" customWidth="1"/>
    <col min="7151" max="7164" width="9" style="228"/>
    <col min="7165" max="7165" width="9.8984375" style="228" bestFit="1" customWidth="1"/>
    <col min="7166" max="7404" width="9" style="228"/>
    <col min="7405" max="7405" width="13.69921875" style="228" customWidth="1"/>
    <col min="7406" max="7406" width="9.8984375" style="228" bestFit="1" customWidth="1"/>
    <col min="7407" max="7420" width="9" style="228"/>
    <col min="7421" max="7421" width="9.8984375" style="228" bestFit="1" customWidth="1"/>
    <col min="7422" max="7660" width="9" style="228"/>
    <col min="7661" max="7661" width="13.69921875" style="228" customWidth="1"/>
    <col min="7662" max="7662" width="9.8984375" style="228" bestFit="1" customWidth="1"/>
    <col min="7663" max="7676" width="9" style="228"/>
    <col min="7677" max="7677" width="9.8984375" style="228" bestFit="1" customWidth="1"/>
    <col min="7678" max="7916" width="9" style="228"/>
    <col min="7917" max="7917" width="13.69921875" style="228" customWidth="1"/>
    <col min="7918" max="7918" width="9.8984375" style="228" bestFit="1" customWidth="1"/>
    <col min="7919" max="7932" width="9" style="228"/>
    <col min="7933" max="7933" width="9.8984375" style="228" bestFit="1" customWidth="1"/>
    <col min="7934" max="8172" width="9" style="228"/>
    <col min="8173" max="8173" width="13.69921875" style="228" customWidth="1"/>
    <col min="8174" max="8174" width="9.8984375" style="228" bestFit="1" customWidth="1"/>
    <col min="8175" max="8188" width="9" style="228"/>
    <col min="8189" max="8189" width="9.8984375" style="228" bestFit="1" customWidth="1"/>
    <col min="8190" max="8428" width="9" style="228"/>
    <col min="8429" max="8429" width="13.69921875" style="228" customWidth="1"/>
    <col min="8430" max="8430" width="9.8984375" style="228" bestFit="1" customWidth="1"/>
    <col min="8431" max="8444" width="9" style="228"/>
    <col min="8445" max="8445" width="9.8984375" style="228" bestFit="1" customWidth="1"/>
    <col min="8446" max="8684" width="9" style="228"/>
    <col min="8685" max="8685" width="13.69921875" style="228" customWidth="1"/>
    <col min="8686" max="8686" width="9.8984375" style="228" bestFit="1" customWidth="1"/>
    <col min="8687" max="8700" width="9" style="228"/>
    <col min="8701" max="8701" width="9.8984375" style="228" bestFit="1" customWidth="1"/>
    <col min="8702" max="8940" width="9" style="228"/>
    <col min="8941" max="8941" width="13.69921875" style="228" customWidth="1"/>
    <col min="8942" max="8942" width="9.8984375" style="228" bestFit="1" customWidth="1"/>
    <col min="8943" max="8956" width="9" style="228"/>
    <col min="8957" max="8957" width="9.8984375" style="228" bestFit="1" customWidth="1"/>
    <col min="8958" max="9196" width="9" style="228"/>
    <col min="9197" max="9197" width="13.69921875" style="228" customWidth="1"/>
    <col min="9198" max="9198" width="9.8984375" style="228" bestFit="1" customWidth="1"/>
    <col min="9199" max="9212" width="9" style="228"/>
    <col min="9213" max="9213" width="9.8984375" style="228" bestFit="1" customWidth="1"/>
    <col min="9214" max="9452" width="9" style="228"/>
    <col min="9453" max="9453" width="13.69921875" style="228" customWidth="1"/>
    <col min="9454" max="9454" width="9.8984375" style="228" bestFit="1" customWidth="1"/>
    <col min="9455" max="9468" width="9" style="228"/>
    <col min="9469" max="9469" width="9.8984375" style="228" bestFit="1" customWidth="1"/>
    <col min="9470" max="9708" width="9" style="228"/>
    <col min="9709" max="9709" width="13.69921875" style="228" customWidth="1"/>
    <col min="9710" max="9710" width="9.8984375" style="228" bestFit="1" customWidth="1"/>
    <col min="9711" max="9724" width="9" style="228"/>
    <col min="9725" max="9725" width="9.8984375" style="228" bestFit="1" customWidth="1"/>
    <col min="9726" max="9964" width="9" style="228"/>
    <col min="9965" max="9965" width="13.69921875" style="228" customWidth="1"/>
    <col min="9966" max="9966" width="9.8984375" style="228" bestFit="1" customWidth="1"/>
    <col min="9967" max="9980" width="9" style="228"/>
    <col min="9981" max="9981" width="9.8984375" style="228" bestFit="1" customWidth="1"/>
    <col min="9982" max="10220" width="9" style="228"/>
    <col min="10221" max="10221" width="13.69921875" style="228" customWidth="1"/>
    <col min="10222" max="10222" width="9.8984375" style="228" bestFit="1" customWidth="1"/>
    <col min="10223" max="10236" width="9" style="228"/>
    <col min="10237" max="10237" width="9.8984375" style="228" bestFit="1" customWidth="1"/>
    <col min="10238" max="10476" width="9" style="228"/>
    <col min="10477" max="10477" width="13.69921875" style="228" customWidth="1"/>
    <col min="10478" max="10478" width="9.8984375" style="228" bestFit="1" customWidth="1"/>
    <col min="10479" max="10492" width="9" style="228"/>
    <col min="10493" max="10493" width="9.8984375" style="228" bestFit="1" customWidth="1"/>
    <col min="10494" max="10732" width="9" style="228"/>
    <col min="10733" max="10733" width="13.69921875" style="228" customWidth="1"/>
    <col min="10734" max="10734" width="9.8984375" style="228" bestFit="1" customWidth="1"/>
    <col min="10735" max="10748" width="9" style="228"/>
    <col min="10749" max="10749" width="9.8984375" style="228" bestFit="1" customWidth="1"/>
    <col min="10750" max="10988" width="9" style="228"/>
    <col min="10989" max="10989" width="13.69921875" style="228" customWidth="1"/>
    <col min="10990" max="10990" width="9.8984375" style="228" bestFit="1" customWidth="1"/>
    <col min="10991" max="11004" width="9" style="228"/>
    <col min="11005" max="11005" width="9.8984375" style="228" bestFit="1" customWidth="1"/>
    <col min="11006" max="11244" width="9" style="228"/>
    <col min="11245" max="11245" width="13.69921875" style="228" customWidth="1"/>
    <col min="11246" max="11246" width="9.8984375" style="228" bestFit="1" customWidth="1"/>
    <col min="11247" max="11260" width="9" style="228"/>
    <col min="11261" max="11261" width="9.8984375" style="228" bestFit="1" customWidth="1"/>
    <col min="11262" max="11500" width="9" style="228"/>
    <col min="11501" max="11501" width="13.69921875" style="228" customWidth="1"/>
    <col min="11502" max="11502" width="9.8984375" style="228" bestFit="1" customWidth="1"/>
    <col min="11503" max="11516" width="9" style="228"/>
    <col min="11517" max="11517" width="9.8984375" style="228" bestFit="1" customWidth="1"/>
    <col min="11518" max="11756" width="9" style="228"/>
    <col min="11757" max="11757" width="13.69921875" style="228" customWidth="1"/>
    <col min="11758" max="11758" width="9.8984375" style="228" bestFit="1" customWidth="1"/>
    <col min="11759" max="11772" width="9" style="228"/>
    <col min="11773" max="11773" width="9.8984375" style="228" bestFit="1" customWidth="1"/>
    <col min="11774" max="12012" width="9" style="228"/>
    <col min="12013" max="12013" width="13.69921875" style="228" customWidth="1"/>
    <col min="12014" max="12014" width="9.8984375" style="228" bestFit="1" customWidth="1"/>
    <col min="12015" max="12028" width="9" style="228"/>
    <col min="12029" max="12029" width="9.8984375" style="228" bestFit="1" customWidth="1"/>
    <col min="12030" max="12268" width="9" style="228"/>
    <col min="12269" max="12269" width="13.69921875" style="228" customWidth="1"/>
    <col min="12270" max="12270" width="9.8984375" style="228" bestFit="1" customWidth="1"/>
    <col min="12271" max="12284" width="9" style="228"/>
    <col min="12285" max="12285" width="9.8984375" style="228" bestFit="1" customWidth="1"/>
    <col min="12286" max="12524" width="9" style="228"/>
    <col min="12525" max="12525" width="13.69921875" style="228" customWidth="1"/>
    <col min="12526" max="12526" width="9.8984375" style="228" bestFit="1" customWidth="1"/>
    <col min="12527" max="12540" width="9" style="228"/>
    <col min="12541" max="12541" width="9.8984375" style="228" bestFit="1" customWidth="1"/>
    <col min="12542" max="12780" width="9" style="228"/>
    <col min="12781" max="12781" width="13.69921875" style="228" customWidth="1"/>
    <col min="12782" max="12782" width="9.8984375" style="228" bestFit="1" customWidth="1"/>
    <col min="12783" max="12796" width="9" style="228"/>
    <col min="12797" max="12797" width="9.8984375" style="228" bestFit="1" customWidth="1"/>
    <col min="12798" max="13036" width="9" style="228"/>
    <col min="13037" max="13037" width="13.69921875" style="228" customWidth="1"/>
    <col min="13038" max="13038" width="9.8984375" style="228" bestFit="1" customWidth="1"/>
    <col min="13039" max="13052" width="9" style="228"/>
    <col min="13053" max="13053" width="9.8984375" style="228" bestFit="1" customWidth="1"/>
    <col min="13054" max="13292" width="9" style="228"/>
    <col min="13293" max="13293" width="13.69921875" style="228" customWidth="1"/>
    <col min="13294" max="13294" width="9.8984375" style="228" bestFit="1" customWidth="1"/>
    <col min="13295" max="13308" width="9" style="228"/>
    <col min="13309" max="13309" width="9.8984375" style="228" bestFit="1" customWidth="1"/>
    <col min="13310" max="13548" width="9" style="228"/>
    <col min="13549" max="13549" width="13.69921875" style="228" customWidth="1"/>
    <col min="13550" max="13550" width="9.8984375" style="228" bestFit="1" customWidth="1"/>
    <col min="13551" max="13564" width="9" style="228"/>
    <col min="13565" max="13565" width="9.8984375" style="228" bestFit="1" customWidth="1"/>
    <col min="13566" max="13804" width="9" style="228"/>
    <col min="13805" max="13805" width="13.69921875" style="228" customWidth="1"/>
    <col min="13806" max="13806" width="9.8984375" style="228" bestFit="1" customWidth="1"/>
    <col min="13807" max="13820" width="9" style="228"/>
    <col min="13821" max="13821" width="9.8984375" style="228" bestFit="1" customWidth="1"/>
    <col min="13822" max="14060" width="9" style="228"/>
    <col min="14061" max="14061" width="13.69921875" style="228" customWidth="1"/>
    <col min="14062" max="14062" width="9.8984375" style="228" bestFit="1" customWidth="1"/>
    <col min="14063" max="14076" width="9" style="228"/>
    <col min="14077" max="14077" width="9.8984375" style="228" bestFit="1" customWidth="1"/>
    <col min="14078" max="14316" width="9" style="228"/>
    <col min="14317" max="14317" width="13.69921875" style="228" customWidth="1"/>
    <col min="14318" max="14318" width="9.8984375" style="228" bestFit="1" customWidth="1"/>
    <col min="14319" max="14332" width="9" style="228"/>
    <col min="14333" max="14333" width="9.8984375" style="228" bestFit="1" customWidth="1"/>
    <col min="14334" max="14572" width="9" style="228"/>
    <col min="14573" max="14573" width="13.69921875" style="228" customWidth="1"/>
    <col min="14574" max="14574" width="9.8984375" style="228" bestFit="1" customWidth="1"/>
    <col min="14575" max="14588" width="9" style="228"/>
    <col min="14589" max="14589" width="9.8984375" style="228" bestFit="1" customWidth="1"/>
    <col min="14590" max="14828" width="9" style="228"/>
    <col min="14829" max="14829" width="13.69921875" style="228" customWidth="1"/>
    <col min="14830" max="14830" width="9.8984375" style="228" bestFit="1" customWidth="1"/>
    <col min="14831" max="14844" width="9" style="228"/>
    <col min="14845" max="14845" width="9.8984375" style="228" bestFit="1" customWidth="1"/>
    <col min="14846" max="15084" width="9" style="228"/>
    <col min="15085" max="15085" width="13.69921875" style="228" customWidth="1"/>
    <col min="15086" max="15086" width="9.8984375" style="228" bestFit="1" customWidth="1"/>
    <col min="15087" max="15100" width="9" style="228"/>
    <col min="15101" max="15101" width="9.8984375" style="228" bestFit="1" customWidth="1"/>
    <col min="15102" max="15340" width="9" style="228"/>
    <col min="15341" max="15341" width="13.69921875" style="228" customWidth="1"/>
    <col min="15342" max="15342" width="9.8984375" style="228" bestFit="1" customWidth="1"/>
    <col min="15343" max="15356" width="9" style="228"/>
    <col min="15357" max="15357" width="9.8984375" style="228" bestFit="1" customWidth="1"/>
    <col min="15358" max="15596" width="9" style="228"/>
    <col min="15597" max="15597" width="13.69921875" style="228" customWidth="1"/>
    <col min="15598" max="15598" width="9.8984375" style="228" bestFit="1" customWidth="1"/>
    <col min="15599" max="15612" width="9" style="228"/>
    <col min="15613" max="15613" width="9.8984375" style="228" bestFit="1" customWidth="1"/>
    <col min="15614" max="15852" width="9" style="228"/>
    <col min="15853" max="15853" width="13.69921875" style="228" customWidth="1"/>
    <col min="15854" max="15854" width="9.8984375" style="228" bestFit="1" customWidth="1"/>
    <col min="15855" max="15868" width="9" style="228"/>
    <col min="15869" max="15869" width="9.8984375" style="228" bestFit="1" customWidth="1"/>
    <col min="15870" max="16108" width="9" style="228"/>
    <col min="16109" max="16109" width="13.69921875" style="228" customWidth="1"/>
    <col min="16110" max="16110" width="9.8984375" style="228" bestFit="1" customWidth="1"/>
    <col min="16111" max="16124" width="9" style="228"/>
    <col min="16125" max="16125" width="9.8984375" style="228" bestFit="1" customWidth="1"/>
    <col min="16126" max="16384" width="9" style="228"/>
  </cols>
  <sheetData>
    <row r="1" spans="3:32" ht="31.5" customHeight="1" thickBot="1" x14ac:dyDescent="0.3"/>
    <row r="2" spans="3:32" ht="29.25" customHeight="1" thickBot="1" x14ac:dyDescent="0.3">
      <c r="C2" s="396" t="s">
        <v>1207</v>
      </c>
      <c r="D2" s="397"/>
      <c r="E2" s="397"/>
      <c r="F2" s="397"/>
      <c r="G2" s="397"/>
      <c r="H2" s="397"/>
      <c r="I2" s="397"/>
      <c r="J2" s="397"/>
      <c r="K2" s="397"/>
      <c r="L2" s="397"/>
      <c r="M2" s="397"/>
      <c r="N2" s="397"/>
      <c r="O2" s="397"/>
      <c r="P2" s="397"/>
      <c r="Q2" s="397"/>
      <c r="R2" s="397"/>
      <c r="S2" s="397"/>
      <c r="T2" s="397"/>
      <c r="U2" s="397"/>
      <c r="V2" s="397"/>
      <c r="W2" s="397"/>
      <c r="X2" s="397"/>
      <c r="Y2" s="397"/>
      <c r="Z2" s="397"/>
      <c r="AA2" s="397"/>
      <c r="AB2" s="397"/>
      <c r="AC2" s="397"/>
      <c r="AD2" s="398"/>
    </row>
    <row r="3" spans="3:32" ht="15" customHeight="1" x14ac:dyDescent="0.25">
      <c r="C3" s="229" t="s">
        <v>18</v>
      </c>
      <c r="D3" s="230" t="s">
        <v>1208</v>
      </c>
      <c r="E3" s="231"/>
      <c r="F3" s="232">
        <v>0</v>
      </c>
      <c r="G3" s="233"/>
      <c r="H3" s="234">
        <v>10</v>
      </c>
      <c r="I3" s="235"/>
      <c r="J3" s="235">
        <v>20</v>
      </c>
      <c r="K3" s="236"/>
      <c r="L3" s="234">
        <v>30</v>
      </c>
      <c r="M3" s="236"/>
      <c r="N3" s="234">
        <v>40</v>
      </c>
      <c r="O3" s="236"/>
      <c r="P3" s="234">
        <v>50</v>
      </c>
      <c r="Q3" s="236"/>
      <c r="R3" s="234">
        <v>60</v>
      </c>
      <c r="S3" s="236"/>
      <c r="T3" s="234">
        <v>70</v>
      </c>
      <c r="U3" s="235"/>
      <c r="V3" s="234">
        <v>80</v>
      </c>
      <c r="W3" s="236"/>
      <c r="X3" s="234">
        <v>90</v>
      </c>
      <c r="Y3" s="236"/>
      <c r="Z3" s="234">
        <v>100</v>
      </c>
      <c r="AA3" s="235"/>
      <c r="AB3" s="234">
        <v>110</v>
      </c>
      <c r="AC3" s="236"/>
      <c r="AD3" s="237">
        <v>120</v>
      </c>
    </row>
    <row r="4" spans="3:32" ht="12.75" customHeight="1" x14ac:dyDescent="0.25">
      <c r="C4" s="399">
        <v>1</v>
      </c>
      <c r="D4" s="402" t="s">
        <v>33</v>
      </c>
      <c r="E4" s="403"/>
      <c r="F4" s="286">
        <f>Resumo!E7</f>
        <v>135206.09100967422</v>
      </c>
      <c r="G4" s="238"/>
      <c r="H4" s="239"/>
      <c r="I4" s="257"/>
      <c r="J4" s="239"/>
      <c r="K4" s="258"/>
      <c r="L4" s="239"/>
      <c r="M4" s="259"/>
      <c r="N4" s="239"/>
      <c r="O4" s="259"/>
      <c r="P4" s="239"/>
      <c r="Q4" s="259"/>
      <c r="R4" s="239"/>
      <c r="S4" s="259"/>
      <c r="T4" s="239"/>
      <c r="U4" s="281"/>
      <c r="V4" s="239"/>
      <c r="W4" s="259"/>
      <c r="X4" s="239"/>
      <c r="Y4" s="259"/>
      <c r="Z4" s="239"/>
      <c r="AA4" s="281"/>
      <c r="AB4" s="239"/>
      <c r="AC4" s="259"/>
      <c r="AD4" s="260"/>
    </row>
    <row r="5" spans="3:32" ht="14.1" customHeight="1" x14ac:dyDescent="0.25">
      <c r="C5" s="400"/>
      <c r="D5" s="404"/>
      <c r="E5" s="405"/>
      <c r="F5" s="245" t="s">
        <v>642</v>
      </c>
      <c r="G5" s="246">
        <v>1.12E-2</v>
      </c>
      <c r="H5" s="247">
        <v>1.12E-2</v>
      </c>
      <c r="I5" s="246">
        <v>2.8500000000000001E-2</v>
      </c>
      <c r="J5" s="247">
        <v>2.8500000000000001E-2</v>
      </c>
      <c r="K5" s="246">
        <v>5.4199999999999998E-2</v>
      </c>
      <c r="L5" s="247">
        <v>5.4199999999999998E-2</v>
      </c>
      <c r="M5" s="246">
        <v>7.3200000000000001E-2</v>
      </c>
      <c r="N5" s="247">
        <v>7.3200000000000001E-2</v>
      </c>
      <c r="O5" s="246">
        <v>6.7100000000000007E-2</v>
      </c>
      <c r="P5" s="247">
        <v>6.7100000000000007E-2</v>
      </c>
      <c r="Q5" s="246">
        <v>6.0699999999999997E-2</v>
      </c>
      <c r="R5" s="247">
        <v>6.0699999999999997E-2</v>
      </c>
      <c r="S5" s="246">
        <v>5.4800000000000001E-2</v>
      </c>
      <c r="T5" s="247">
        <v>5.4800000000000001E-2</v>
      </c>
      <c r="U5" s="246">
        <v>4.9000000000000002E-2</v>
      </c>
      <c r="V5" s="247">
        <v>4.9000000000000002E-2</v>
      </c>
      <c r="W5" s="246">
        <v>2.4199999999999999E-2</v>
      </c>
      <c r="X5" s="247">
        <v>2.4199999999999999E-2</v>
      </c>
      <c r="Y5" s="246">
        <v>2.5700000000000001E-2</v>
      </c>
      <c r="Z5" s="247">
        <v>2.5700000000000001E-2</v>
      </c>
      <c r="AA5" s="248">
        <v>2.5700000000000001E-2</v>
      </c>
      <c r="AB5" s="247">
        <v>2.5700000000000001E-2</v>
      </c>
      <c r="AC5" s="246">
        <v>2.5700000000000001E-2</v>
      </c>
      <c r="AD5" s="251">
        <v>2.5700000000000001E-2</v>
      </c>
      <c r="AE5" s="283">
        <f>SUM(G5:AD5)</f>
        <v>1.0000000000000002</v>
      </c>
      <c r="AF5" s="283"/>
    </row>
    <row r="6" spans="3:32" ht="14.1" customHeight="1" x14ac:dyDescent="0.25">
      <c r="C6" s="401"/>
      <c r="D6" s="406"/>
      <c r="E6" s="407"/>
      <c r="F6" s="284" t="s">
        <v>1209</v>
      </c>
      <c r="G6" s="252">
        <f t="shared" ref="G6:Y6" si="0">ROUND($F$4*G5,2)</f>
        <v>1514.31</v>
      </c>
      <c r="H6" s="253">
        <f t="shared" si="0"/>
        <v>1514.31</v>
      </c>
      <c r="I6" s="252">
        <f t="shared" si="0"/>
        <v>3853.37</v>
      </c>
      <c r="J6" s="253">
        <f t="shared" si="0"/>
        <v>3853.37</v>
      </c>
      <c r="K6" s="252">
        <f t="shared" si="0"/>
        <v>7328.17</v>
      </c>
      <c r="L6" s="253">
        <f t="shared" si="0"/>
        <v>7328.17</v>
      </c>
      <c r="M6" s="252">
        <f t="shared" si="0"/>
        <v>9897.09</v>
      </c>
      <c r="N6" s="253">
        <f t="shared" si="0"/>
        <v>9897.09</v>
      </c>
      <c r="O6" s="252">
        <f t="shared" si="0"/>
        <v>9072.33</v>
      </c>
      <c r="P6" s="253">
        <f t="shared" si="0"/>
        <v>9072.33</v>
      </c>
      <c r="Q6" s="252">
        <f t="shared" si="0"/>
        <v>8207.01</v>
      </c>
      <c r="R6" s="253">
        <f t="shared" si="0"/>
        <v>8207.01</v>
      </c>
      <c r="S6" s="252">
        <f t="shared" si="0"/>
        <v>7409.29</v>
      </c>
      <c r="T6" s="253">
        <f t="shared" si="0"/>
        <v>7409.29</v>
      </c>
      <c r="U6" s="252">
        <f t="shared" si="0"/>
        <v>6625.1</v>
      </c>
      <c r="V6" s="253">
        <f t="shared" si="0"/>
        <v>6625.1</v>
      </c>
      <c r="W6" s="252">
        <f t="shared" si="0"/>
        <v>3271.99</v>
      </c>
      <c r="X6" s="253">
        <f t="shared" si="0"/>
        <v>3271.99</v>
      </c>
      <c r="Y6" s="252">
        <f t="shared" si="0"/>
        <v>3474.8</v>
      </c>
      <c r="Z6" s="253">
        <f>ROUND($F$4*Z5,2)+0.01</f>
        <v>3474.8100000000004</v>
      </c>
      <c r="AA6" s="252">
        <f>ROUND($F$4*AA5,2)</f>
        <v>3474.8</v>
      </c>
      <c r="AB6" s="253">
        <f>ROUND($F$4*AB5,2)</f>
        <v>3474.8</v>
      </c>
      <c r="AC6" s="252">
        <f>ROUND($F$4*AC5,2)</f>
        <v>3474.8</v>
      </c>
      <c r="AD6" s="255">
        <f>ROUND($F$4*AD5,2)</f>
        <v>3474.8</v>
      </c>
      <c r="AE6" s="278">
        <f>SUM(G6:AD6)</f>
        <v>135206.12999999998</v>
      </c>
      <c r="AF6" s="278">
        <f>F4-AE6</f>
        <v>-3.8990325760096312E-2</v>
      </c>
    </row>
    <row r="7" spans="3:32" ht="12.75" customHeight="1" x14ac:dyDescent="0.25">
      <c r="C7" s="399">
        <v>2</v>
      </c>
      <c r="D7" s="402" t="s">
        <v>36</v>
      </c>
      <c r="E7" s="408"/>
      <c r="F7" s="286">
        <f>Resumo!E8</f>
        <v>38704.073037686976</v>
      </c>
      <c r="G7" s="238"/>
      <c r="H7" s="239"/>
      <c r="I7" s="257"/>
      <c r="J7" s="239"/>
      <c r="K7" s="258"/>
      <c r="L7" s="239"/>
      <c r="M7" s="259"/>
      <c r="N7" s="239"/>
      <c r="O7" s="259"/>
      <c r="P7" s="239"/>
      <c r="Q7" s="259"/>
      <c r="R7" s="239"/>
      <c r="S7" s="259"/>
      <c r="T7" s="239"/>
      <c r="U7" s="281"/>
      <c r="V7" s="239"/>
      <c r="W7" s="259"/>
      <c r="X7" s="239"/>
      <c r="Y7" s="259"/>
      <c r="Z7" s="239"/>
      <c r="AA7" s="281"/>
      <c r="AB7" s="239"/>
      <c r="AC7" s="259"/>
      <c r="AD7" s="260"/>
      <c r="AE7" s="283"/>
      <c r="AF7" s="283"/>
    </row>
    <row r="8" spans="3:32" ht="14.1" customHeight="1" x14ac:dyDescent="0.25">
      <c r="C8" s="400"/>
      <c r="D8" s="404"/>
      <c r="E8" s="409"/>
      <c r="F8" s="285" t="s">
        <v>642</v>
      </c>
      <c r="G8" s="246">
        <v>1.12E-2</v>
      </c>
      <c r="H8" s="247">
        <v>1.12E-2</v>
      </c>
      <c r="I8" s="246">
        <v>2.8500000000000001E-2</v>
      </c>
      <c r="J8" s="247">
        <v>2.8500000000000001E-2</v>
      </c>
      <c r="K8" s="246">
        <v>5.4199999999999998E-2</v>
      </c>
      <c r="L8" s="247">
        <v>5.4199999999999998E-2</v>
      </c>
      <c r="M8" s="246">
        <v>7.3200000000000001E-2</v>
      </c>
      <c r="N8" s="247">
        <v>7.3200000000000001E-2</v>
      </c>
      <c r="O8" s="246">
        <v>6.7100000000000007E-2</v>
      </c>
      <c r="P8" s="247">
        <v>6.7100000000000007E-2</v>
      </c>
      <c r="Q8" s="246">
        <v>6.0699999999999997E-2</v>
      </c>
      <c r="R8" s="247">
        <v>6.0699999999999997E-2</v>
      </c>
      <c r="S8" s="246">
        <v>5.4800000000000001E-2</v>
      </c>
      <c r="T8" s="247">
        <v>5.4800000000000001E-2</v>
      </c>
      <c r="U8" s="246">
        <v>4.9000000000000002E-2</v>
      </c>
      <c r="V8" s="247">
        <v>4.9000000000000002E-2</v>
      </c>
      <c r="W8" s="246">
        <v>2.4199999999999999E-2</v>
      </c>
      <c r="X8" s="247">
        <v>2.4199999999999999E-2</v>
      </c>
      <c r="Y8" s="246">
        <v>2.5700000000000001E-2</v>
      </c>
      <c r="Z8" s="247">
        <v>2.5700000000000001E-2</v>
      </c>
      <c r="AA8" s="248">
        <v>2.5700000000000001E-2</v>
      </c>
      <c r="AB8" s="247">
        <v>2.5700000000000001E-2</v>
      </c>
      <c r="AC8" s="246">
        <v>2.5700000000000001E-2</v>
      </c>
      <c r="AD8" s="251">
        <v>2.5700000000000001E-2</v>
      </c>
      <c r="AE8" s="283">
        <f>SUM(G8:AD8)</f>
        <v>1.0000000000000002</v>
      </c>
      <c r="AF8" s="283"/>
    </row>
    <row r="9" spans="3:32" ht="14.1" customHeight="1" x14ac:dyDescent="0.25">
      <c r="C9" s="401"/>
      <c r="D9" s="406"/>
      <c r="E9" s="410"/>
      <c r="F9" s="245" t="s">
        <v>1209</v>
      </c>
      <c r="G9" s="252">
        <f t="shared" ref="G9:H9" si="1">ROUND($F$7*G8,2)</f>
        <v>433.49</v>
      </c>
      <c r="H9" s="253">
        <f t="shared" si="1"/>
        <v>433.49</v>
      </c>
      <c r="I9" s="252">
        <f t="shared" ref="I9:T9" si="2">ROUND($F$7*I8,2)</f>
        <v>1103.07</v>
      </c>
      <c r="J9" s="253">
        <f t="shared" si="2"/>
        <v>1103.07</v>
      </c>
      <c r="K9" s="252">
        <f t="shared" si="2"/>
        <v>2097.7600000000002</v>
      </c>
      <c r="L9" s="253">
        <f t="shared" si="2"/>
        <v>2097.7600000000002</v>
      </c>
      <c r="M9" s="252">
        <f t="shared" si="2"/>
        <v>2833.14</v>
      </c>
      <c r="N9" s="253">
        <f t="shared" si="2"/>
        <v>2833.14</v>
      </c>
      <c r="O9" s="252">
        <f>ROUND($F$7*O8,2)</f>
        <v>2597.04</v>
      </c>
      <c r="P9" s="253">
        <f>ROUND($F$7*P8,2)</f>
        <v>2597.04</v>
      </c>
      <c r="Q9" s="252">
        <f>ROUND($F$7*Q8,2)</f>
        <v>2349.34</v>
      </c>
      <c r="R9" s="253">
        <f>ROUND($F$7*R8,2)</f>
        <v>2349.34</v>
      </c>
      <c r="S9" s="252">
        <f t="shared" si="2"/>
        <v>2120.98</v>
      </c>
      <c r="T9" s="253">
        <f t="shared" si="2"/>
        <v>2120.98</v>
      </c>
      <c r="U9" s="254">
        <f>ROUND($F$7*U8,2)</f>
        <v>1896.5</v>
      </c>
      <c r="V9" s="253">
        <f>ROUND($F$7*V8,2)</f>
        <v>1896.5</v>
      </c>
      <c r="W9" s="252">
        <f>ROUND($F$7*W8,2)</f>
        <v>936.64</v>
      </c>
      <c r="X9" s="253">
        <f>ROUND($F$7*X8,2)</f>
        <v>936.64</v>
      </c>
      <c r="Y9" s="252">
        <f t="shared" ref="Y9:Z9" si="3">ROUND($F$7*Y8,2)</f>
        <v>994.69</v>
      </c>
      <c r="Z9" s="253">
        <f t="shared" si="3"/>
        <v>994.69</v>
      </c>
      <c r="AA9" s="254">
        <f>ROUND($F$7*AA8,2)</f>
        <v>994.69</v>
      </c>
      <c r="AB9" s="253">
        <f>ROUND($F$7*AB8,2)</f>
        <v>994.69</v>
      </c>
      <c r="AC9" s="252">
        <f>ROUND($F$7*AC8,2)</f>
        <v>994.69</v>
      </c>
      <c r="AD9" s="255">
        <f>ROUND($F$7*AD8,2)+0.01</f>
        <v>994.7</v>
      </c>
      <c r="AE9" s="278">
        <f>SUM(G9:AD9)</f>
        <v>38704.070000000007</v>
      </c>
      <c r="AF9" s="278">
        <f>F7-AE9</f>
        <v>3.0376869690371677E-3</v>
      </c>
    </row>
    <row r="10" spans="3:32" ht="12.75" customHeight="1" x14ac:dyDescent="0.25">
      <c r="C10" s="399">
        <v>3</v>
      </c>
      <c r="D10" s="402" t="s">
        <v>641</v>
      </c>
      <c r="E10" s="408"/>
      <c r="F10" s="286">
        <f>Resumo!E9</f>
        <v>1034248.6562886282</v>
      </c>
      <c r="G10" s="256"/>
      <c r="H10" s="241"/>
      <c r="I10" s="257"/>
      <c r="J10" s="239"/>
      <c r="K10" s="258"/>
      <c r="L10" s="239"/>
      <c r="M10" s="259"/>
      <c r="N10" s="239"/>
      <c r="O10" s="259"/>
      <c r="P10" s="239"/>
      <c r="Q10" s="259"/>
      <c r="R10" s="239"/>
      <c r="S10" s="259"/>
      <c r="T10" s="239"/>
      <c r="U10" s="259"/>
      <c r="V10" s="239"/>
      <c r="W10" s="243"/>
      <c r="X10" s="241"/>
      <c r="Y10" s="243"/>
      <c r="Z10" s="241"/>
      <c r="AA10" s="279"/>
      <c r="AB10" s="241"/>
      <c r="AC10" s="243"/>
      <c r="AD10" s="244"/>
    </row>
    <row r="11" spans="3:32" ht="14.1" customHeight="1" x14ac:dyDescent="0.25">
      <c r="C11" s="400"/>
      <c r="D11" s="404"/>
      <c r="E11" s="409"/>
      <c r="F11" s="245" t="s">
        <v>642</v>
      </c>
      <c r="G11" s="246"/>
      <c r="H11" s="247"/>
      <c r="I11" s="246">
        <v>0.05</v>
      </c>
      <c r="J11" s="247">
        <v>0.05</v>
      </c>
      <c r="K11" s="246">
        <v>0.05</v>
      </c>
      <c r="L11" s="247">
        <v>0.1</v>
      </c>
      <c r="M11" s="246">
        <v>0.1</v>
      </c>
      <c r="N11" s="247">
        <v>0.1</v>
      </c>
      <c r="O11" s="246">
        <v>0.1</v>
      </c>
      <c r="P11" s="247">
        <v>0.1</v>
      </c>
      <c r="Q11" s="246">
        <v>0.1</v>
      </c>
      <c r="R11" s="247">
        <v>0.05</v>
      </c>
      <c r="S11" s="246">
        <v>0.05</v>
      </c>
      <c r="T11" s="247">
        <v>0.05</v>
      </c>
      <c r="U11" s="246">
        <v>0.05</v>
      </c>
      <c r="V11" s="247">
        <v>0.05</v>
      </c>
      <c r="W11" s="269"/>
      <c r="X11" s="247"/>
      <c r="Y11" s="250"/>
      <c r="Z11" s="247"/>
      <c r="AA11" s="280"/>
      <c r="AB11" s="247"/>
      <c r="AC11" s="250"/>
      <c r="AD11" s="251"/>
      <c r="AE11" s="283">
        <f>SUM(G11:AD11)</f>
        <v>1</v>
      </c>
      <c r="AF11" s="283"/>
    </row>
    <row r="12" spans="3:32" ht="14.1" customHeight="1" x14ac:dyDescent="0.25">
      <c r="C12" s="401"/>
      <c r="D12" s="406"/>
      <c r="E12" s="410"/>
      <c r="F12" s="245" t="s">
        <v>1209</v>
      </c>
      <c r="G12" s="252"/>
      <c r="H12" s="253"/>
      <c r="I12" s="252">
        <f t="shared" ref="I12:U12" si="4">ROUND($F$10*I11,2)</f>
        <v>51712.43</v>
      </c>
      <c r="J12" s="253">
        <f t="shared" si="4"/>
        <v>51712.43</v>
      </c>
      <c r="K12" s="252">
        <f t="shared" si="4"/>
        <v>51712.43</v>
      </c>
      <c r="L12" s="253">
        <f t="shared" si="4"/>
        <v>103424.87</v>
      </c>
      <c r="M12" s="252">
        <f t="shared" si="4"/>
        <v>103424.87</v>
      </c>
      <c r="N12" s="253">
        <f t="shared" si="4"/>
        <v>103424.87</v>
      </c>
      <c r="O12" s="252">
        <f t="shared" si="4"/>
        <v>103424.87</v>
      </c>
      <c r="P12" s="253">
        <f t="shared" si="4"/>
        <v>103424.87</v>
      </c>
      <c r="Q12" s="252">
        <f t="shared" si="4"/>
        <v>103424.87</v>
      </c>
      <c r="R12" s="253">
        <f t="shared" si="4"/>
        <v>51712.43</v>
      </c>
      <c r="S12" s="252">
        <f t="shared" si="4"/>
        <v>51712.43</v>
      </c>
      <c r="T12" s="253">
        <f t="shared" si="4"/>
        <v>51712.43</v>
      </c>
      <c r="U12" s="252">
        <f t="shared" si="4"/>
        <v>51712.43</v>
      </c>
      <c r="V12" s="253">
        <f>ROUND($F$10*V11,2)-0.01</f>
        <v>51712.42</v>
      </c>
      <c r="W12" s="252"/>
      <c r="X12" s="253"/>
      <c r="Y12" s="252"/>
      <c r="Z12" s="253"/>
      <c r="AA12" s="254"/>
      <c r="AB12" s="253"/>
      <c r="AC12" s="252"/>
      <c r="AD12" s="255"/>
      <c r="AE12" s="278">
        <f>SUM(G12:AD12)</f>
        <v>1034248.6500000003</v>
      </c>
      <c r="AF12" s="278">
        <f>F10-AE12</f>
        <v>6.2886279774829745E-3</v>
      </c>
    </row>
    <row r="13" spans="3:32" ht="12.75" customHeight="1" x14ac:dyDescent="0.25">
      <c r="C13" s="395">
        <v>4</v>
      </c>
      <c r="D13" s="377" t="s">
        <v>452</v>
      </c>
      <c r="E13" s="378"/>
      <c r="F13" s="286">
        <f>Resumo!E10</f>
        <v>237175.29206231289</v>
      </c>
      <c r="G13" s="256"/>
      <c r="H13" s="241"/>
      <c r="I13" s="240"/>
      <c r="J13" s="239"/>
      <c r="K13" s="258"/>
      <c r="L13" s="239"/>
      <c r="M13" s="259"/>
      <c r="N13" s="239"/>
      <c r="O13" s="259"/>
      <c r="P13" s="239"/>
      <c r="Q13" s="259"/>
      <c r="R13" s="239"/>
      <c r="S13" s="259"/>
      <c r="T13" s="241"/>
      <c r="U13" s="279"/>
      <c r="V13" s="241"/>
      <c r="W13" s="243"/>
      <c r="X13" s="241"/>
      <c r="Y13" s="243"/>
      <c r="Z13" s="241"/>
      <c r="AA13" s="279"/>
      <c r="AB13" s="241"/>
      <c r="AC13" s="243"/>
      <c r="AD13" s="244"/>
    </row>
    <row r="14" spans="3:32" ht="14.1" customHeight="1" x14ac:dyDescent="0.25">
      <c r="C14" s="395"/>
      <c r="D14" s="377"/>
      <c r="E14" s="378"/>
      <c r="F14" s="245" t="s">
        <v>642</v>
      </c>
      <c r="G14" s="246"/>
      <c r="H14" s="247"/>
      <c r="I14" s="246"/>
      <c r="J14" s="247">
        <v>0.05</v>
      </c>
      <c r="K14" s="246">
        <v>0.1</v>
      </c>
      <c r="L14" s="247">
        <v>0.1</v>
      </c>
      <c r="M14" s="246">
        <v>0.2</v>
      </c>
      <c r="N14" s="247">
        <v>0.2</v>
      </c>
      <c r="O14" s="246">
        <v>0.1</v>
      </c>
      <c r="P14" s="247">
        <v>0.1</v>
      </c>
      <c r="Q14" s="246">
        <v>0.05</v>
      </c>
      <c r="R14" s="247">
        <v>0.05</v>
      </c>
      <c r="S14" s="246">
        <v>0.05</v>
      </c>
      <c r="T14" s="247"/>
      <c r="U14" s="282"/>
      <c r="V14" s="247"/>
      <c r="W14" s="269"/>
      <c r="X14" s="247"/>
      <c r="Y14" s="269"/>
      <c r="Z14" s="247"/>
      <c r="AA14" s="282"/>
      <c r="AB14" s="247"/>
      <c r="AC14" s="269"/>
      <c r="AD14" s="251"/>
      <c r="AE14" s="283">
        <f>SUM(G14:AD14)</f>
        <v>1</v>
      </c>
      <c r="AF14" s="283"/>
    </row>
    <row r="15" spans="3:32" ht="14.1" customHeight="1" x14ac:dyDescent="0.25">
      <c r="C15" s="395"/>
      <c r="D15" s="377"/>
      <c r="E15" s="378"/>
      <c r="F15" s="245" t="s">
        <v>1209</v>
      </c>
      <c r="G15" s="252"/>
      <c r="H15" s="253"/>
      <c r="I15" s="252"/>
      <c r="J15" s="253">
        <f t="shared" ref="J15:Q15" si="5">ROUND($F$13*J14,2)</f>
        <v>11858.76</v>
      </c>
      <c r="K15" s="252">
        <f t="shared" si="5"/>
        <v>23717.53</v>
      </c>
      <c r="L15" s="253">
        <f t="shared" si="5"/>
        <v>23717.53</v>
      </c>
      <c r="M15" s="252">
        <f t="shared" si="5"/>
        <v>47435.06</v>
      </c>
      <c r="N15" s="253">
        <f t="shared" si="5"/>
        <v>47435.06</v>
      </c>
      <c r="O15" s="252">
        <f t="shared" si="5"/>
        <v>23717.53</v>
      </c>
      <c r="P15" s="253">
        <f t="shared" si="5"/>
        <v>23717.53</v>
      </c>
      <c r="Q15" s="252">
        <f t="shared" si="5"/>
        <v>11858.76</v>
      </c>
      <c r="R15" s="253">
        <f>ROUND($F$13*R14,2)+0.01</f>
        <v>11858.77</v>
      </c>
      <c r="S15" s="252">
        <f>ROUND($F$13*S14,2)</f>
        <v>11858.76</v>
      </c>
      <c r="T15" s="253"/>
      <c r="U15" s="254"/>
      <c r="V15" s="253"/>
      <c r="W15" s="252"/>
      <c r="X15" s="253"/>
      <c r="Y15" s="252"/>
      <c r="Z15" s="253"/>
      <c r="AA15" s="254"/>
      <c r="AB15" s="253"/>
      <c r="AC15" s="252"/>
      <c r="AD15" s="255"/>
      <c r="AE15" s="278">
        <f>SUM(G15:AD15)</f>
        <v>237175.29</v>
      </c>
      <c r="AF15" s="278">
        <f>F13-AE15</f>
        <v>2.0623128802981228E-3</v>
      </c>
    </row>
    <row r="16" spans="3:32" ht="12.75" customHeight="1" x14ac:dyDescent="0.25">
      <c r="C16" s="395">
        <v>5</v>
      </c>
      <c r="D16" s="377" t="s">
        <v>418</v>
      </c>
      <c r="E16" s="378"/>
      <c r="F16" s="286">
        <f>Resumo!E11</f>
        <v>69532.268295135524</v>
      </c>
      <c r="G16" s="256"/>
      <c r="H16" s="241"/>
      <c r="I16" s="240"/>
      <c r="J16" s="241"/>
      <c r="K16" s="242"/>
      <c r="L16" s="241"/>
      <c r="M16" s="243"/>
      <c r="N16" s="241"/>
      <c r="O16" s="259"/>
      <c r="P16" s="239"/>
      <c r="Q16" s="281"/>
      <c r="R16" s="239"/>
      <c r="S16" s="259"/>
      <c r="T16" s="239"/>
      <c r="U16" s="279"/>
      <c r="V16" s="241"/>
      <c r="W16" s="243"/>
      <c r="X16" s="241"/>
      <c r="Y16" s="243"/>
      <c r="Z16" s="241"/>
      <c r="AA16" s="279"/>
      <c r="AB16" s="241"/>
      <c r="AC16" s="243"/>
      <c r="AD16" s="244"/>
    </row>
    <row r="17" spans="3:32" ht="14.1" customHeight="1" x14ac:dyDescent="0.25">
      <c r="C17" s="395"/>
      <c r="D17" s="377"/>
      <c r="E17" s="378"/>
      <c r="F17" s="245" t="s">
        <v>642</v>
      </c>
      <c r="G17" s="246"/>
      <c r="H17" s="261"/>
      <c r="I17" s="248"/>
      <c r="J17" s="261"/>
      <c r="K17" s="262"/>
      <c r="L17" s="287"/>
      <c r="M17" s="269"/>
      <c r="N17" s="247"/>
      <c r="O17" s="246">
        <v>0.1</v>
      </c>
      <c r="P17" s="247">
        <v>0.15</v>
      </c>
      <c r="Q17" s="246">
        <v>0.2</v>
      </c>
      <c r="R17" s="247">
        <v>0.25</v>
      </c>
      <c r="S17" s="246">
        <v>0.2</v>
      </c>
      <c r="T17" s="247">
        <v>0.1</v>
      </c>
      <c r="U17" s="246"/>
      <c r="V17" s="247"/>
      <c r="W17" s="246"/>
      <c r="X17" s="247"/>
      <c r="Y17" s="269"/>
      <c r="Z17" s="247"/>
      <c r="AA17" s="282"/>
      <c r="AB17" s="247"/>
      <c r="AC17" s="269"/>
      <c r="AD17" s="251"/>
      <c r="AE17" s="283">
        <f>SUM(G17:AD17)</f>
        <v>0.99999999999999989</v>
      </c>
      <c r="AF17" s="283"/>
    </row>
    <row r="18" spans="3:32" ht="14.1" customHeight="1" x14ac:dyDescent="0.25">
      <c r="C18" s="395"/>
      <c r="D18" s="377"/>
      <c r="E18" s="378"/>
      <c r="F18" s="245" t="s">
        <v>1209</v>
      </c>
      <c r="G18" s="263"/>
      <c r="H18" s="253"/>
      <c r="I18" s="264"/>
      <c r="J18" s="253"/>
      <c r="K18" s="252"/>
      <c r="L18" s="253"/>
      <c r="M18" s="252"/>
      <c r="N18" s="253"/>
      <c r="O18" s="252">
        <f t="shared" ref="O18:T18" si="6">ROUND($F$16*O17,2)</f>
        <v>6953.23</v>
      </c>
      <c r="P18" s="253">
        <f t="shared" si="6"/>
        <v>10429.84</v>
      </c>
      <c r="Q18" s="254">
        <f t="shared" si="6"/>
        <v>13906.45</v>
      </c>
      <c r="R18" s="253">
        <f t="shared" si="6"/>
        <v>17383.07</v>
      </c>
      <c r="S18" s="252">
        <f t="shared" si="6"/>
        <v>13906.45</v>
      </c>
      <c r="T18" s="253">
        <f t="shared" si="6"/>
        <v>6953.23</v>
      </c>
      <c r="U18" s="254"/>
      <c r="V18" s="253"/>
      <c r="W18" s="252"/>
      <c r="X18" s="253"/>
      <c r="Y18" s="252"/>
      <c r="Z18" s="253"/>
      <c r="AA18" s="254"/>
      <c r="AB18" s="253"/>
      <c r="AC18" s="252"/>
      <c r="AD18" s="255"/>
      <c r="AE18" s="278">
        <f>SUM(G18:AD18)</f>
        <v>69532.26999999999</v>
      </c>
      <c r="AF18" s="278">
        <f>F16-AE18</f>
        <v>-1.7048644658643752E-3</v>
      </c>
    </row>
    <row r="19" spans="3:32" ht="12.75" customHeight="1" x14ac:dyDescent="0.25">
      <c r="C19" s="395">
        <v>6</v>
      </c>
      <c r="D19" s="377" t="s">
        <v>417</v>
      </c>
      <c r="E19" s="378"/>
      <c r="F19" s="286">
        <f>Resumo!E12</f>
        <v>18874.293328596243</v>
      </c>
      <c r="G19" s="288"/>
      <c r="H19" s="241"/>
      <c r="I19" s="240"/>
      <c r="J19" s="241"/>
      <c r="K19" s="242"/>
      <c r="L19" s="241"/>
      <c r="M19" s="243"/>
      <c r="N19" s="241"/>
      <c r="O19" s="259"/>
      <c r="P19" s="239"/>
      <c r="Q19" s="259"/>
      <c r="R19" s="239"/>
      <c r="S19" s="259"/>
      <c r="T19" s="241"/>
      <c r="U19" s="279"/>
      <c r="V19" s="241"/>
      <c r="W19" s="243"/>
      <c r="X19" s="241"/>
      <c r="Y19" s="243"/>
      <c r="Z19" s="241"/>
      <c r="AA19" s="279"/>
      <c r="AB19" s="241"/>
      <c r="AC19" s="243"/>
      <c r="AD19" s="244"/>
    </row>
    <row r="20" spans="3:32" ht="14.1" customHeight="1" x14ac:dyDescent="0.25">
      <c r="C20" s="395"/>
      <c r="D20" s="377"/>
      <c r="E20" s="378"/>
      <c r="F20" s="245" t="s">
        <v>642</v>
      </c>
      <c r="G20" s="246"/>
      <c r="H20" s="261"/>
      <c r="I20" s="248"/>
      <c r="J20" s="261"/>
      <c r="K20" s="262"/>
      <c r="L20" s="247"/>
      <c r="M20" s="269"/>
      <c r="N20" s="247"/>
      <c r="O20" s="246">
        <v>0.2</v>
      </c>
      <c r="P20" s="247">
        <v>0.4</v>
      </c>
      <c r="Q20" s="246">
        <v>0.3</v>
      </c>
      <c r="R20" s="247">
        <v>0.05</v>
      </c>
      <c r="S20" s="250">
        <v>0.05</v>
      </c>
      <c r="T20" s="247"/>
      <c r="U20" s="282"/>
      <c r="V20" s="247"/>
      <c r="W20" s="269"/>
      <c r="X20" s="247"/>
      <c r="Y20" s="269"/>
      <c r="Z20" s="247"/>
      <c r="AA20" s="282"/>
      <c r="AB20" s="247"/>
      <c r="AC20" s="269"/>
      <c r="AD20" s="251"/>
      <c r="AE20" s="283">
        <f>SUM(G20:AD20)</f>
        <v>1.0000000000000002</v>
      </c>
      <c r="AF20" s="283"/>
    </row>
    <row r="21" spans="3:32" ht="14.1" customHeight="1" x14ac:dyDescent="0.25">
      <c r="C21" s="395"/>
      <c r="D21" s="377"/>
      <c r="E21" s="378"/>
      <c r="F21" s="245" t="s">
        <v>1209</v>
      </c>
      <c r="G21" s="266"/>
      <c r="H21" s="267"/>
      <c r="I21" s="264"/>
      <c r="J21" s="267"/>
      <c r="K21" s="242"/>
      <c r="L21" s="241"/>
      <c r="M21" s="243"/>
      <c r="N21" s="241"/>
      <c r="O21" s="252">
        <f>ROUND($F$19*O20,2)</f>
        <v>3774.86</v>
      </c>
      <c r="P21" s="253">
        <f>ROUND($F$19*P20,2)</f>
        <v>7549.72</v>
      </c>
      <c r="Q21" s="252">
        <f>ROUND($F$19*Q20,2)</f>
        <v>5662.29</v>
      </c>
      <c r="R21" s="253">
        <f>ROUND($F$19*R20,2)</f>
        <v>943.71</v>
      </c>
      <c r="S21" s="252">
        <f>ROUND($F$19*S20,2)</f>
        <v>943.71</v>
      </c>
      <c r="T21" s="253"/>
      <c r="U21" s="254"/>
      <c r="V21" s="253"/>
      <c r="W21" s="252"/>
      <c r="X21" s="253"/>
      <c r="Y21" s="252"/>
      <c r="Z21" s="253"/>
      <c r="AA21" s="254"/>
      <c r="AB21" s="253"/>
      <c r="AC21" s="252"/>
      <c r="AD21" s="255"/>
      <c r="AE21" s="278">
        <f>SUM(G21:AD21)</f>
        <v>18874.289999999997</v>
      </c>
      <c r="AF21" s="278">
        <f>F19-AE21</f>
        <v>3.3285962454101536E-3</v>
      </c>
    </row>
    <row r="22" spans="3:32" ht="12.75" customHeight="1" x14ac:dyDescent="0.25">
      <c r="C22" s="395">
        <v>7</v>
      </c>
      <c r="D22" s="377" t="s">
        <v>645</v>
      </c>
      <c r="E22" s="378"/>
      <c r="F22" s="286">
        <f>Resumo!E13</f>
        <v>185573.94266058254</v>
      </c>
      <c r="G22" s="268"/>
      <c r="H22" s="241"/>
      <c r="I22" s="240"/>
      <c r="J22" s="241"/>
      <c r="K22" s="242"/>
      <c r="L22" s="241"/>
      <c r="M22" s="243"/>
      <c r="N22" s="241"/>
      <c r="O22" s="243"/>
      <c r="P22" s="241"/>
      <c r="Q22" s="243"/>
      <c r="R22" s="239"/>
      <c r="S22" s="281"/>
      <c r="T22" s="239"/>
      <c r="U22" s="259"/>
      <c r="V22" s="239"/>
      <c r="W22" s="243"/>
      <c r="X22" s="241"/>
      <c r="Y22" s="243"/>
      <c r="Z22" s="241"/>
      <c r="AA22" s="279"/>
      <c r="AB22" s="241"/>
      <c r="AC22" s="243"/>
      <c r="AD22" s="244"/>
    </row>
    <row r="23" spans="3:32" ht="14.1" customHeight="1" x14ac:dyDescent="0.25">
      <c r="C23" s="395"/>
      <c r="D23" s="377"/>
      <c r="E23" s="378"/>
      <c r="F23" s="245" t="s">
        <v>642</v>
      </c>
      <c r="G23" s="246"/>
      <c r="H23" s="247"/>
      <c r="I23" s="248"/>
      <c r="J23" s="261"/>
      <c r="K23" s="262"/>
      <c r="L23" s="247"/>
      <c r="M23" s="269"/>
      <c r="N23" s="247"/>
      <c r="O23" s="269"/>
      <c r="P23" s="247"/>
      <c r="Q23" s="269"/>
      <c r="R23" s="249">
        <v>0.15</v>
      </c>
      <c r="S23" s="280">
        <v>0.3</v>
      </c>
      <c r="T23" s="249">
        <v>0.3</v>
      </c>
      <c r="U23" s="250">
        <v>0.15</v>
      </c>
      <c r="V23" s="249">
        <v>0.1</v>
      </c>
      <c r="W23" s="250"/>
      <c r="X23" s="249"/>
      <c r="Y23" s="269"/>
      <c r="Z23" s="247"/>
      <c r="AA23" s="282"/>
      <c r="AB23" s="247"/>
      <c r="AC23" s="269"/>
      <c r="AD23" s="251"/>
      <c r="AE23" s="283">
        <f>SUM(G23:AD23)</f>
        <v>1</v>
      </c>
      <c r="AF23" s="283"/>
    </row>
    <row r="24" spans="3:32" ht="14.1" customHeight="1" x14ac:dyDescent="0.25">
      <c r="C24" s="395"/>
      <c r="D24" s="377"/>
      <c r="E24" s="378"/>
      <c r="F24" s="245" t="s">
        <v>1209</v>
      </c>
      <c r="G24" s="268"/>
      <c r="H24" s="241"/>
      <c r="I24" s="264"/>
      <c r="J24" s="253"/>
      <c r="K24" s="263"/>
      <c r="L24" s="253"/>
      <c r="M24" s="263"/>
      <c r="N24" s="241"/>
      <c r="O24" s="263"/>
      <c r="P24" s="253"/>
      <c r="Q24" s="252"/>
      <c r="R24" s="253">
        <f>ROUND($F$22*R23,2)</f>
        <v>27836.09</v>
      </c>
      <c r="S24" s="254">
        <f>ROUND($F$22*S23,2)</f>
        <v>55672.18</v>
      </c>
      <c r="T24" s="253">
        <f>ROUND($F$22*T23,2)</f>
        <v>55672.18</v>
      </c>
      <c r="U24" s="252">
        <f>ROUND($F$22*U23,2)</f>
        <v>27836.09</v>
      </c>
      <c r="V24" s="253">
        <f>ROUND($F$22*V23,2)-0.01</f>
        <v>18557.38</v>
      </c>
      <c r="W24" s="252"/>
      <c r="X24" s="253"/>
      <c r="Y24" s="252"/>
      <c r="Z24" s="253"/>
      <c r="AA24" s="264"/>
      <c r="AB24" s="253"/>
      <c r="AC24" s="252"/>
      <c r="AD24" s="255"/>
      <c r="AE24" s="278">
        <f>SUM(G24:AD24)</f>
        <v>185573.92</v>
      </c>
      <c r="AF24" s="278">
        <f>F22-AE24</f>
        <v>2.2660582530079409E-2</v>
      </c>
    </row>
    <row r="25" spans="3:32" ht="12.75" customHeight="1" x14ac:dyDescent="0.25">
      <c r="C25" s="395">
        <v>8</v>
      </c>
      <c r="D25" s="377" t="s">
        <v>1154</v>
      </c>
      <c r="E25" s="378"/>
      <c r="F25" s="286">
        <f>Resumo!E14</f>
        <v>6636.00002191575</v>
      </c>
      <c r="G25" s="268"/>
      <c r="H25" s="241"/>
      <c r="I25" s="240"/>
      <c r="J25" s="241"/>
      <c r="K25" s="242"/>
      <c r="L25" s="241"/>
      <c r="M25" s="243"/>
      <c r="N25" s="241"/>
      <c r="O25" s="243"/>
      <c r="P25" s="241"/>
      <c r="Q25" s="243"/>
      <c r="R25" s="241"/>
      <c r="S25" s="281"/>
      <c r="T25" s="239"/>
      <c r="U25" s="259"/>
      <c r="V25" s="239"/>
      <c r="W25" s="243"/>
      <c r="X25" s="241"/>
      <c r="Y25" s="243"/>
      <c r="Z25" s="241"/>
      <c r="AA25" s="279"/>
      <c r="AB25" s="279"/>
      <c r="AC25" s="279"/>
      <c r="AD25" s="244"/>
    </row>
    <row r="26" spans="3:32" ht="14.1" customHeight="1" x14ac:dyDescent="0.25">
      <c r="C26" s="395"/>
      <c r="D26" s="377"/>
      <c r="E26" s="378"/>
      <c r="F26" s="245" t="s">
        <v>642</v>
      </c>
      <c r="G26" s="246"/>
      <c r="H26" s="247"/>
      <c r="I26" s="248"/>
      <c r="J26" s="261"/>
      <c r="K26" s="262"/>
      <c r="L26" s="247"/>
      <c r="M26" s="269"/>
      <c r="N26" s="247"/>
      <c r="O26" s="269"/>
      <c r="P26" s="247"/>
      <c r="Q26" s="269"/>
      <c r="R26" s="247"/>
      <c r="S26" s="280">
        <v>0.25</v>
      </c>
      <c r="T26" s="249">
        <v>0.25</v>
      </c>
      <c r="U26" s="250">
        <v>0.25</v>
      </c>
      <c r="V26" s="249">
        <v>0.25</v>
      </c>
      <c r="W26" s="269"/>
      <c r="X26" s="247"/>
      <c r="Y26" s="269"/>
      <c r="Z26" s="247"/>
      <c r="AA26" s="280"/>
      <c r="AB26" s="249"/>
      <c r="AC26" s="269"/>
      <c r="AD26" s="251"/>
      <c r="AE26" s="283">
        <f>SUM(G26:AD26)</f>
        <v>1</v>
      </c>
      <c r="AF26" s="283"/>
    </row>
    <row r="27" spans="3:32" ht="14.1" customHeight="1" x14ac:dyDescent="0.25">
      <c r="C27" s="395"/>
      <c r="D27" s="377"/>
      <c r="E27" s="378"/>
      <c r="F27" s="245" t="s">
        <v>1209</v>
      </c>
      <c r="G27" s="268"/>
      <c r="H27" s="241"/>
      <c r="I27" s="264"/>
      <c r="J27" s="253"/>
      <c r="K27" s="263"/>
      <c r="L27" s="253"/>
      <c r="M27" s="263"/>
      <c r="N27" s="241"/>
      <c r="O27" s="263"/>
      <c r="P27" s="253"/>
      <c r="Q27" s="252"/>
      <c r="R27" s="253"/>
      <c r="S27" s="254">
        <f>ROUND($F$25*S26,2)</f>
        <v>1659</v>
      </c>
      <c r="T27" s="253">
        <f>ROUND($F$25*T26,2)</f>
        <v>1659</v>
      </c>
      <c r="U27" s="252">
        <f>ROUND($F$25*U26,2)</f>
        <v>1659</v>
      </c>
      <c r="V27" s="253">
        <f>ROUND($F$25*V26,2)</f>
        <v>1659</v>
      </c>
      <c r="W27" s="252"/>
      <c r="X27" s="253"/>
      <c r="Y27" s="252"/>
      <c r="Z27" s="253"/>
      <c r="AA27" s="252"/>
      <c r="AB27" s="253"/>
      <c r="AC27" s="252"/>
      <c r="AD27" s="255"/>
      <c r="AE27" s="278">
        <f>SUM(G27:AD27)</f>
        <v>6636</v>
      </c>
      <c r="AF27" s="278">
        <f>F25-AE27</f>
        <v>2.1915750039624982E-5</v>
      </c>
    </row>
    <row r="28" spans="3:32" ht="12.75" customHeight="1" x14ac:dyDescent="0.25">
      <c r="C28" s="376">
        <v>9</v>
      </c>
      <c r="D28" s="377" t="s">
        <v>893</v>
      </c>
      <c r="E28" s="378"/>
      <c r="F28" s="286">
        <f>Resumo!E15</f>
        <v>29918.873595967543</v>
      </c>
      <c r="G28" s="268"/>
      <c r="H28" s="241"/>
      <c r="I28" s="240"/>
      <c r="J28" s="241"/>
      <c r="K28" s="242"/>
      <c r="L28" s="241"/>
      <c r="M28" s="243"/>
      <c r="N28" s="241"/>
      <c r="O28" s="243"/>
      <c r="P28" s="241"/>
      <c r="Q28" s="243"/>
      <c r="R28" s="239"/>
      <c r="S28" s="281"/>
      <c r="T28" s="239"/>
      <c r="U28" s="259"/>
      <c r="V28" s="239"/>
      <c r="W28" s="259"/>
      <c r="X28" s="241"/>
      <c r="Y28" s="279"/>
      <c r="Z28" s="279"/>
      <c r="AA28" s="279"/>
      <c r="AB28" s="241"/>
      <c r="AC28" s="279"/>
      <c r="AD28" s="244"/>
    </row>
    <row r="29" spans="3:32" ht="14.1" customHeight="1" x14ac:dyDescent="0.25">
      <c r="C29" s="376"/>
      <c r="D29" s="377"/>
      <c r="E29" s="378"/>
      <c r="F29" s="245" t="s">
        <v>642</v>
      </c>
      <c r="G29" s="246"/>
      <c r="H29" s="247"/>
      <c r="I29" s="248"/>
      <c r="J29" s="261"/>
      <c r="K29" s="262"/>
      <c r="L29" s="247"/>
      <c r="M29" s="269"/>
      <c r="N29" s="247"/>
      <c r="O29" s="269"/>
      <c r="P29" s="247"/>
      <c r="Q29" s="269"/>
      <c r="R29" s="249">
        <v>0.15</v>
      </c>
      <c r="S29" s="280">
        <v>0.3</v>
      </c>
      <c r="T29" s="249">
        <v>0.3</v>
      </c>
      <c r="U29" s="250">
        <v>0.1</v>
      </c>
      <c r="V29" s="249">
        <v>0.1</v>
      </c>
      <c r="W29" s="250">
        <v>0.05</v>
      </c>
      <c r="X29" s="247"/>
      <c r="Y29" s="269"/>
      <c r="Z29" s="247"/>
      <c r="AA29" s="280"/>
      <c r="AB29" s="249"/>
      <c r="AC29" s="269"/>
      <c r="AD29" s="251"/>
      <c r="AE29" s="283">
        <f>SUM(G29:AD29)</f>
        <v>1</v>
      </c>
      <c r="AF29" s="283"/>
    </row>
    <row r="30" spans="3:32" ht="14.1" customHeight="1" x14ac:dyDescent="0.25">
      <c r="C30" s="376"/>
      <c r="D30" s="377"/>
      <c r="E30" s="378"/>
      <c r="F30" s="245" t="s">
        <v>1209</v>
      </c>
      <c r="G30" s="268"/>
      <c r="H30" s="241"/>
      <c r="I30" s="240"/>
      <c r="J30" s="267"/>
      <c r="K30" s="263"/>
      <c r="L30" s="253"/>
      <c r="M30" s="263"/>
      <c r="N30" s="253"/>
      <c r="O30" s="263"/>
      <c r="P30" s="253"/>
      <c r="Q30" s="263"/>
      <c r="R30" s="253">
        <f>ROUND($F$28*R29,2)+0.01</f>
        <v>4487.84</v>
      </c>
      <c r="S30" s="254">
        <f>ROUND($F$28*S29,2)-0.01</f>
        <v>8975.65</v>
      </c>
      <c r="T30" s="253">
        <f>ROUND($F$28*T29,2)+0.01</f>
        <v>8975.67</v>
      </c>
      <c r="U30" s="252">
        <f>ROUND($F$28*U29,2)-0.01</f>
        <v>2991.8799999999997</v>
      </c>
      <c r="V30" s="253">
        <f>ROUND($F$28*V29,2)</f>
        <v>2991.89</v>
      </c>
      <c r="W30" s="252">
        <f>ROUND($F$28*W29,2)</f>
        <v>1495.94</v>
      </c>
      <c r="X30" s="253"/>
      <c r="Y30" s="252"/>
      <c r="Z30" s="253"/>
      <c r="AA30" s="252"/>
      <c r="AB30" s="253"/>
      <c r="AC30" s="252"/>
      <c r="AD30" s="255"/>
      <c r="AE30" s="278">
        <f>SUM(G30:AD30)</f>
        <v>29918.87</v>
      </c>
      <c r="AF30" s="278">
        <f>F28-AE30</f>
        <v>3.5959675442427397E-3</v>
      </c>
    </row>
    <row r="31" spans="3:32" ht="12.75" customHeight="1" x14ac:dyDescent="0.25">
      <c r="C31" s="376">
        <v>10</v>
      </c>
      <c r="D31" s="377" t="s">
        <v>901</v>
      </c>
      <c r="E31" s="378"/>
      <c r="F31" s="286">
        <f>Resumo!E16</f>
        <v>514990.28000162804</v>
      </c>
      <c r="G31" s="256"/>
      <c r="H31" s="279"/>
      <c r="I31" s="279"/>
      <c r="J31" s="279"/>
      <c r="K31" s="279"/>
      <c r="L31" s="281"/>
      <c r="M31" s="259"/>
      <c r="N31" s="239"/>
      <c r="O31" s="259"/>
      <c r="P31" s="239"/>
      <c r="Q31" s="259"/>
      <c r="R31" s="241"/>
      <c r="S31" s="243"/>
      <c r="T31" s="241"/>
      <c r="U31" s="279"/>
      <c r="V31" s="241"/>
      <c r="W31" s="243"/>
      <c r="X31" s="241"/>
      <c r="Y31" s="281"/>
      <c r="Z31" s="281"/>
      <c r="AA31" s="281"/>
      <c r="AB31" s="281"/>
      <c r="AC31" s="281"/>
      <c r="AD31" s="260"/>
    </row>
    <row r="32" spans="3:32" ht="14.1" customHeight="1" x14ac:dyDescent="0.25">
      <c r="C32" s="376"/>
      <c r="D32" s="377"/>
      <c r="E32" s="378"/>
      <c r="F32" s="245" t="s">
        <v>642</v>
      </c>
      <c r="G32" s="269"/>
      <c r="H32" s="247"/>
      <c r="I32" s="280"/>
      <c r="J32" s="249"/>
      <c r="K32" s="280"/>
      <c r="L32" s="249">
        <v>0.1</v>
      </c>
      <c r="M32" s="250">
        <v>0.1</v>
      </c>
      <c r="N32" s="249">
        <v>0.1</v>
      </c>
      <c r="O32" s="246">
        <v>0.1</v>
      </c>
      <c r="P32" s="247">
        <v>0.15</v>
      </c>
      <c r="Q32" s="246">
        <v>0.15</v>
      </c>
      <c r="R32" s="247"/>
      <c r="S32" s="269"/>
      <c r="T32" s="247"/>
      <c r="U32" s="282"/>
      <c r="V32" s="247"/>
      <c r="W32" s="269"/>
      <c r="X32" s="247"/>
      <c r="Y32" s="269">
        <v>0.05</v>
      </c>
      <c r="Z32" s="247">
        <v>0.05</v>
      </c>
      <c r="AA32" s="280">
        <v>0.05</v>
      </c>
      <c r="AB32" s="249">
        <v>0.05</v>
      </c>
      <c r="AC32" s="269">
        <v>0.05</v>
      </c>
      <c r="AD32" s="251">
        <v>0.05</v>
      </c>
      <c r="AE32" s="283">
        <f>SUM(G32:AD32)</f>
        <v>1.0000000000000002</v>
      </c>
      <c r="AF32" s="283"/>
    </row>
    <row r="33" spans="3:32" ht="14.1" customHeight="1" x14ac:dyDescent="0.25">
      <c r="C33" s="376"/>
      <c r="D33" s="377"/>
      <c r="E33" s="378"/>
      <c r="F33" s="245" t="s">
        <v>1209</v>
      </c>
      <c r="G33" s="252"/>
      <c r="H33" s="253"/>
      <c r="I33" s="252"/>
      <c r="J33" s="253"/>
      <c r="K33" s="252"/>
      <c r="L33" s="253">
        <f t="shared" ref="L33:Q33" si="7">ROUND($F$31*L32,2)</f>
        <v>51499.03</v>
      </c>
      <c r="M33" s="252">
        <f t="shared" si="7"/>
        <v>51499.03</v>
      </c>
      <c r="N33" s="253">
        <f t="shared" si="7"/>
        <v>51499.03</v>
      </c>
      <c r="O33" s="252">
        <f t="shared" si="7"/>
        <v>51499.03</v>
      </c>
      <c r="P33" s="253">
        <f t="shared" si="7"/>
        <v>77248.539999999994</v>
      </c>
      <c r="Q33" s="252">
        <f t="shared" si="7"/>
        <v>77248.539999999994</v>
      </c>
      <c r="R33" s="253"/>
      <c r="S33" s="252"/>
      <c r="T33" s="253"/>
      <c r="U33" s="264"/>
      <c r="V33" s="253"/>
      <c r="W33" s="263"/>
      <c r="X33" s="253"/>
      <c r="Y33" s="252">
        <f>ROUND($F$31*Y32,2)</f>
        <v>25749.51</v>
      </c>
      <c r="Z33" s="253">
        <f>ROUND($F$31*Z32,2)</f>
        <v>25749.51</v>
      </c>
      <c r="AA33" s="252">
        <f>ROUND($F$31*AA32,2)</f>
        <v>25749.51</v>
      </c>
      <c r="AB33" s="253">
        <f>ROUND($F$31*AB32,2)</f>
        <v>25749.51</v>
      </c>
      <c r="AC33" s="252">
        <f>ROUND($F$31*AC32,2)-0.01</f>
        <v>25749.5</v>
      </c>
      <c r="AD33" s="255">
        <f>ROUND($F$31*AD32,2)-0.01</f>
        <v>25749.5</v>
      </c>
      <c r="AE33" s="278">
        <f>SUM(G33:AD33)</f>
        <v>514990.24</v>
      </c>
      <c r="AF33" s="278">
        <f>F31-AE33</f>
        <v>4.0001628047320992E-2</v>
      </c>
    </row>
    <row r="34" spans="3:32" ht="12.75" customHeight="1" x14ac:dyDescent="0.25">
      <c r="C34" s="386">
        <v>11</v>
      </c>
      <c r="D34" s="377" t="s">
        <v>908</v>
      </c>
      <c r="E34" s="378"/>
      <c r="F34" s="286">
        <f>Resumo!E17</f>
        <v>179416.10255081841</v>
      </c>
      <c r="G34" s="238"/>
      <c r="H34" s="281"/>
      <c r="I34" s="281"/>
      <c r="J34" s="281"/>
      <c r="K34" s="281"/>
      <c r="L34" s="281"/>
      <c r="M34" s="259"/>
      <c r="N34" s="239"/>
      <c r="O34" s="243"/>
      <c r="P34" s="241"/>
      <c r="Q34" s="243"/>
      <c r="R34" s="241"/>
      <c r="S34" s="243"/>
      <c r="T34" s="241"/>
      <c r="U34" s="279"/>
      <c r="V34" s="241"/>
      <c r="W34" s="243"/>
      <c r="X34" s="241"/>
      <c r="Y34" s="243"/>
      <c r="Z34" s="241"/>
      <c r="AA34" s="279"/>
      <c r="AB34" s="241"/>
      <c r="AC34" s="243"/>
      <c r="AD34" s="244"/>
    </row>
    <row r="35" spans="3:32" ht="14.1" customHeight="1" x14ac:dyDescent="0.25">
      <c r="C35" s="387"/>
      <c r="D35" s="377"/>
      <c r="E35" s="378"/>
      <c r="F35" s="245" t="s">
        <v>642</v>
      </c>
      <c r="G35" s="269">
        <v>0.1</v>
      </c>
      <c r="H35" s="247">
        <v>0.1</v>
      </c>
      <c r="I35" s="280">
        <v>0.1</v>
      </c>
      <c r="J35" s="249">
        <v>0.1</v>
      </c>
      <c r="K35" s="280">
        <v>0.15</v>
      </c>
      <c r="L35" s="249">
        <v>0.15</v>
      </c>
      <c r="M35" s="250">
        <v>0.15</v>
      </c>
      <c r="N35" s="249">
        <v>0.15</v>
      </c>
      <c r="O35" s="269"/>
      <c r="P35" s="247"/>
      <c r="Q35" s="269"/>
      <c r="R35" s="247"/>
      <c r="S35" s="269"/>
      <c r="T35" s="247"/>
      <c r="U35" s="282"/>
      <c r="V35" s="247"/>
      <c r="W35" s="269"/>
      <c r="X35" s="247"/>
      <c r="Y35" s="269"/>
      <c r="Z35" s="247"/>
      <c r="AA35" s="282"/>
      <c r="AB35" s="247"/>
      <c r="AC35" s="269"/>
      <c r="AD35" s="251"/>
      <c r="AE35" s="283">
        <f>SUM(G35:AD35)</f>
        <v>1</v>
      </c>
      <c r="AF35" s="283"/>
    </row>
    <row r="36" spans="3:32" ht="14.1" customHeight="1" x14ac:dyDescent="0.25">
      <c r="C36" s="388"/>
      <c r="D36" s="377"/>
      <c r="E36" s="378"/>
      <c r="F36" s="245" t="s">
        <v>1209</v>
      </c>
      <c r="G36" s="252">
        <f t="shared" ref="G36:L36" si="8">ROUND($F$34*G35,2)</f>
        <v>17941.61</v>
      </c>
      <c r="H36" s="253">
        <f t="shared" si="8"/>
        <v>17941.61</v>
      </c>
      <c r="I36" s="252">
        <f t="shared" si="8"/>
        <v>17941.61</v>
      </c>
      <c r="J36" s="253">
        <f t="shared" si="8"/>
        <v>17941.61</v>
      </c>
      <c r="K36" s="252">
        <f t="shared" si="8"/>
        <v>26912.42</v>
      </c>
      <c r="L36" s="253">
        <f t="shared" si="8"/>
        <v>26912.42</v>
      </c>
      <c r="M36" s="252">
        <f>ROUND($F$34*M35,2)-0.01</f>
        <v>26912.41</v>
      </c>
      <c r="N36" s="253">
        <f>ROUND($F$34*N35,2)-0.01</f>
        <v>26912.41</v>
      </c>
      <c r="O36" s="263"/>
      <c r="P36" s="253"/>
      <c r="Q36" s="263"/>
      <c r="R36" s="253"/>
      <c r="S36" s="252"/>
      <c r="T36" s="253"/>
      <c r="U36" s="264"/>
      <c r="V36" s="253"/>
      <c r="W36" s="263"/>
      <c r="X36" s="253"/>
      <c r="Y36" s="252"/>
      <c r="Z36" s="253"/>
      <c r="AA36" s="264"/>
      <c r="AB36" s="253"/>
      <c r="AC36" s="263"/>
      <c r="AD36" s="255"/>
      <c r="AE36" s="278">
        <f>SUM(G36:AD36)</f>
        <v>179416.1</v>
      </c>
      <c r="AF36" s="278">
        <f>F34-AE36</f>
        <v>2.5508184044156224E-3</v>
      </c>
    </row>
    <row r="37" spans="3:32" ht="12.75" customHeight="1" x14ac:dyDescent="0.25">
      <c r="C37" s="386">
        <v>12</v>
      </c>
      <c r="D37" s="377" t="s">
        <v>923</v>
      </c>
      <c r="E37" s="378"/>
      <c r="F37" s="286">
        <f>Resumo!E18</f>
        <v>528927.92673733342</v>
      </c>
      <c r="G37" s="268"/>
      <c r="H37" s="241"/>
      <c r="I37" s="270"/>
      <c r="J37" s="265"/>
      <c r="K37" s="242"/>
      <c r="L37" s="241"/>
      <c r="M37" s="243"/>
      <c r="N37" s="241"/>
      <c r="O37" s="243"/>
      <c r="P37" s="241"/>
      <c r="Q37" s="243"/>
      <c r="R37" s="241"/>
      <c r="S37" s="243"/>
      <c r="T37" s="241"/>
      <c r="U37" s="281"/>
      <c r="V37" s="239"/>
      <c r="W37" s="259"/>
      <c r="X37" s="239"/>
      <c r="Y37" s="259"/>
      <c r="Z37" s="239"/>
      <c r="AA37" s="281"/>
      <c r="AB37" s="239"/>
      <c r="AC37" s="243"/>
      <c r="AD37" s="244"/>
    </row>
    <row r="38" spans="3:32" ht="14.1" customHeight="1" x14ac:dyDescent="0.25">
      <c r="C38" s="387"/>
      <c r="D38" s="377"/>
      <c r="E38" s="378"/>
      <c r="F38" s="245" t="s">
        <v>642</v>
      </c>
      <c r="G38" s="246"/>
      <c r="H38" s="247"/>
      <c r="I38" s="248"/>
      <c r="J38" s="261"/>
      <c r="K38" s="262"/>
      <c r="L38" s="247"/>
      <c r="M38" s="269"/>
      <c r="N38" s="247"/>
      <c r="O38" s="269"/>
      <c r="P38" s="247"/>
      <c r="Q38" s="269"/>
      <c r="R38" s="247"/>
      <c r="S38" s="269"/>
      <c r="T38" s="247"/>
      <c r="U38" s="280">
        <v>0.05</v>
      </c>
      <c r="V38" s="249">
        <v>0.05</v>
      </c>
      <c r="W38" s="250">
        <v>0.25</v>
      </c>
      <c r="X38" s="249">
        <v>0.25</v>
      </c>
      <c r="Y38" s="269">
        <v>0.15</v>
      </c>
      <c r="Z38" s="247">
        <v>0.15</v>
      </c>
      <c r="AA38" s="280">
        <v>0.05</v>
      </c>
      <c r="AB38" s="249">
        <v>0.05</v>
      </c>
      <c r="AC38" s="269"/>
      <c r="AD38" s="251"/>
      <c r="AE38" s="283">
        <f>SUM(G38:AD38)</f>
        <v>1</v>
      </c>
      <c r="AF38" s="283"/>
    </row>
    <row r="39" spans="3:32" ht="14.1" customHeight="1" x14ac:dyDescent="0.25">
      <c r="C39" s="388"/>
      <c r="D39" s="377"/>
      <c r="E39" s="378"/>
      <c r="F39" s="245" t="s">
        <v>1209</v>
      </c>
      <c r="G39" s="268"/>
      <c r="H39" s="241"/>
      <c r="I39" s="240"/>
      <c r="J39" s="267"/>
      <c r="K39" s="263"/>
      <c r="L39" s="253"/>
      <c r="M39" s="263"/>
      <c r="N39" s="253"/>
      <c r="O39" s="263"/>
      <c r="P39" s="253"/>
      <c r="Q39" s="263"/>
      <c r="R39" s="253"/>
      <c r="S39" s="252"/>
      <c r="T39" s="253"/>
      <c r="U39" s="254">
        <f t="shared" ref="U39:AA39" si="9">ROUND($F$37*U38,2)</f>
        <v>26446.400000000001</v>
      </c>
      <c r="V39" s="253">
        <f t="shared" si="9"/>
        <v>26446.400000000001</v>
      </c>
      <c r="W39" s="252">
        <f t="shared" si="9"/>
        <v>132231.98000000001</v>
      </c>
      <c r="X39" s="253">
        <f t="shared" si="9"/>
        <v>132231.98000000001</v>
      </c>
      <c r="Y39" s="252">
        <f t="shared" si="9"/>
        <v>79339.19</v>
      </c>
      <c r="Z39" s="253">
        <f t="shared" si="9"/>
        <v>79339.19</v>
      </c>
      <c r="AA39" s="252">
        <f t="shared" si="9"/>
        <v>26446.400000000001</v>
      </c>
      <c r="AB39" s="253">
        <f>ROUND($F$37*AB38,2)-0.01</f>
        <v>26446.390000000003</v>
      </c>
      <c r="AC39" s="252"/>
      <c r="AD39" s="255"/>
      <c r="AE39" s="278">
        <f>SUM(G39:AD39)</f>
        <v>528927.93000000005</v>
      </c>
      <c r="AF39" s="278">
        <f>F37-AE39</f>
        <v>-3.262666636146605E-3</v>
      </c>
    </row>
    <row r="40" spans="3:32" ht="12.75" customHeight="1" x14ac:dyDescent="0.25">
      <c r="C40" s="386">
        <v>13</v>
      </c>
      <c r="D40" s="377" t="s">
        <v>552</v>
      </c>
      <c r="E40" s="378"/>
      <c r="F40" s="286">
        <f>Resumo!E19</f>
        <v>636606.24935874681</v>
      </c>
      <c r="G40" s="238"/>
      <c r="H40" s="281"/>
      <c r="I40" s="281"/>
      <c r="J40" s="281"/>
      <c r="K40" s="281"/>
      <c r="L40" s="281"/>
      <c r="M40" s="242"/>
      <c r="N40" s="241"/>
      <c r="O40" s="242"/>
      <c r="P40" s="241"/>
      <c r="Q40" s="281"/>
      <c r="R40" s="239"/>
      <c r="S40" s="281"/>
      <c r="T40" s="281"/>
      <c r="U40" s="281"/>
      <c r="V40" s="281"/>
      <c r="W40" s="279"/>
      <c r="X40" s="241"/>
      <c r="Y40" s="279"/>
      <c r="Z40" s="241"/>
      <c r="AA40" s="279"/>
      <c r="AB40" s="241"/>
      <c r="AC40" s="279"/>
      <c r="AD40" s="244"/>
    </row>
    <row r="41" spans="3:32" ht="14.1" customHeight="1" x14ac:dyDescent="0.25">
      <c r="C41" s="387"/>
      <c r="D41" s="377"/>
      <c r="E41" s="378"/>
      <c r="F41" s="245" t="s">
        <v>642</v>
      </c>
      <c r="G41" s="269">
        <v>0.05</v>
      </c>
      <c r="H41" s="247">
        <v>0.05</v>
      </c>
      <c r="I41" s="280">
        <v>0.05</v>
      </c>
      <c r="J41" s="249">
        <v>0.05</v>
      </c>
      <c r="K41" s="280">
        <v>0.05</v>
      </c>
      <c r="L41" s="249">
        <v>0.05</v>
      </c>
      <c r="M41" s="269"/>
      <c r="N41" s="247"/>
      <c r="O41" s="269"/>
      <c r="P41" s="247"/>
      <c r="Q41" s="280">
        <v>0.05</v>
      </c>
      <c r="R41" s="249">
        <v>0.1</v>
      </c>
      <c r="S41" s="269">
        <v>0.1</v>
      </c>
      <c r="T41" s="247">
        <v>0.15</v>
      </c>
      <c r="U41" s="280">
        <v>0.15</v>
      </c>
      <c r="V41" s="249">
        <v>0.15</v>
      </c>
      <c r="W41" s="280"/>
      <c r="X41" s="247"/>
      <c r="Y41" s="280"/>
      <c r="Z41" s="247"/>
      <c r="AA41" s="280"/>
      <c r="AB41" s="247"/>
      <c r="AC41" s="280"/>
      <c r="AD41" s="251"/>
      <c r="AE41" s="283">
        <f>SUM(G41:AD41)</f>
        <v>1</v>
      </c>
      <c r="AF41" s="283"/>
    </row>
    <row r="42" spans="3:32" ht="14.1" customHeight="1" thickBot="1" x14ac:dyDescent="0.3">
      <c r="C42" s="389"/>
      <c r="D42" s="393"/>
      <c r="E42" s="394"/>
      <c r="F42" s="271" t="s">
        <v>1209</v>
      </c>
      <c r="G42" s="272">
        <f t="shared" ref="G42:L42" si="10">ROUND($F$40*G41,2)</f>
        <v>31830.31</v>
      </c>
      <c r="H42" s="273">
        <f t="shared" si="10"/>
        <v>31830.31</v>
      </c>
      <c r="I42" s="272">
        <f t="shared" si="10"/>
        <v>31830.31</v>
      </c>
      <c r="J42" s="273">
        <f t="shared" si="10"/>
        <v>31830.31</v>
      </c>
      <c r="K42" s="272">
        <f t="shared" si="10"/>
        <v>31830.31</v>
      </c>
      <c r="L42" s="273">
        <f t="shared" si="10"/>
        <v>31830.31</v>
      </c>
      <c r="M42" s="272"/>
      <c r="N42" s="273"/>
      <c r="O42" s="272"/>
      <c r="P42" s="273"/>
      <c r="Q42" s="272">
        <f>ROUND($F$40*Q41,2)+0.01</f>
        <v>31830.32</v>
      </c>
      <c r="R42" s="273">
        <f>ROUND($F$40*R41,2)+0.01</f>
        <v>63660.630000000005</v>
      </c>
      <c r="S42" s="272">
        <f>ROUND($F$40*S41,2)</f>
        <v>63660.62</v>
      </c>
      <c r="T42" s="273">
        <f>ROUND($F$40*T41,2)</f>
        <v>95490.94</v>
      </c>
      <c r="U42" s="272">
        <f>ROUND($F$40*U41,2)</f>
        <v>95490.94</v>
      </c>
      <c r="V42" s="273">
        <f>ROUND($F$40*V41,2)+0.01</f>
        <v>95490.95</v>
      </c>
      <c r="W42" s="272"/>
      <c r="X42" s="273"/>
      <c r="Y42" s="272"/>
      <c r="Z42" s="273"/>
      <c r="AA42" s="272"/>
      <c r="AB42" s="273"/>
      <c r="AC42" s="272"/>
      <c r="AD42" s="274"/>
      <c r="AE42" s="278">
        <f>SUM(G42:AD42)</f>
        <v>636606.26</v>
      </c>
      <c r="AF42" s="278">
        <f>F40-AE42</f>
        <v>-1.0641253204084933E-2</v>
      </c>
    </row>
    <row r="43" spans="3:32" ht="14.1" customHeight="1" thickTop="1" x14ac:dyDescent="0.25">
      <c r="C43" s="379" t="s">
        <v>1210</v>
      </c>
      <c r="D43" s="380"/>
      <c r="E43" s="383" t="s">
        <v>1211</v>
      </c>
      <c r="F43" s="275" t="s">
        <v>642</v>
      </c>
      <c r="G43" s="368">
        <f>G45/$C$46</f>
        <v>2.8607542597561441E-2</v>
      </c>
      <c r="H43" s="367"/>
      <c r="I43" s="366">
        <f>I45/$C$46</f>
        <v>6.2154907740610735E-2</v>
      </c>
      <c r="J43" s="390"/>
      <c r="K43" s="368">
        <f>K45/$C$46</f>
        <v>0.10797268239062402</v>
      </c>
      <c r="L43" s="367"/>
      <c r="M43" s="368">
        <f>M45/$C$46</f>
        <v>0.13385747410616344</v>
      </c>
      <c r="N43" s="367"/>
      <c r="O43" s="368">
        <f>O45/$C$46</f>
        <v>0.12032677439083399</v>
      </c>
      <c r="P43" s="367"/>
      <c r="Q43" s="368">
        <f>Q45/$C$46</f>
        <v>0.12249716218603388</v>
      </c>
      <c r="R43" s="367"/>
      <c r="S43" s="373">
        <f>S45/$C$46</f>
        <v>0.12387619480458897</v>
      </c>
      <c r="T43" s="374"/>
      <c r="U43" s="366">
        <f>U45/$C$46</f>
        <v>0.11616704813409334</v>
      </c>
      <c r="V43" s="367"/>
      <c r="W43" s="368">
        <f>W45/$C$46</f>
        <v>7.5882625548803539E-2</v>
      </c>
      <c r="X43" s="367"/>
      <c r="Y43" s="373">
        <f>Y45/$C$46</f>
        <v>6.0599530128439265E-2</v>
      </c>
      <c r="Z43" s="374"/>
      <c r="AA43" s="366">
        <f>AA45/$C$46</f>
        <v>3.1343126012092583E-2</v>
      </c>
      <c r="AB43" s="367"/>
      <c r="AC43" s="368">
        <f>AC45/$C$46</f>
        <v>1.6714921188287237E-2</v>
      </c>
      <c r="AD43" s="369"/>
    </row>
    <row r="44" spans="3:32" ht="14.1" customHeight="1" x14ac:dyDescent="0.25">
      <c r="C44" s="379"/>
      <c r="D44" s="380"/>
      <c r="E44" s="384"/>
      <c r="F44" s="276" t="s">
        <v>1212</v>
      </c>
      <c r="G44" s="375">
        <f>G43</f>
        <v>2.8607542597561441E-2</v>
      </c>
      <c r="H44" s="371"/>
      <c r="I44" s="370">
        <f>G44+I43</f>
        <v>9.0762450338172179E-2</v>
      </c>
      <c r="J44" s="371"/>
      <c r="K44" s="370">
        <f>I44+K43</f>
        <v>0.1987351327287962</v>
      </c>
      <c r="L44" s="371"/>
      <c r="M44" s="370">
        <f>K44+M43</f>
        <v>0.33259260683495961</v>
      </c>
      <c r="N44" s="371"/>
      <c r="O44" s="370">
        <f>M44+O43</f>
        <v>0.45291938122579362</v>
      </c>
      <c r="P44" s="371"/>
      <c r="Q44" s="370">
        <f>O44+Q43</f>
        <v>0.57541654341182746</v>
      </c>
      <c r="R44" s="371"/>
      <c r="S44" s="370">
        <f>Q44+S43</f>
        <v>0.69929273821641647</v>
      </c>
      <c r="T44" s="371"/>
      <c r="U44" s="370">
        <f>S44+U43</f>
        <v>0.81545978635050975</v>
      </c>
      <c r="V44" s="371"/>
      <c r="W44" s="370">
        <f>U44+W43</f>
        <v>0.89134241189931329</v>
      </c>
      <c r="X44" s="371"/>
      <c r="Y44" s="370">
        <f>W44+Y43</f>
        <v>0.95194194202775251</v>
      </c>
      <c r="Z44" s="371"/>
      <c r="AA44" s="370">
        <f>Y44+AA43</f>
        <v>0.98328506803984506</v>
      </c>
      <c r="AB44" s="371"/>
      <c r="AC44" s="370">
        <f>AA44+AC43</f>
        <v>0.99999998922813227</v>
      </c>
      <c r="AD44" s="372"/>
    </row>
    <row r="45" spans="3:32" ht="14.1" customHeight="1" x14ac:dyDescent="0.25">
      <c r="C45" s="381"/>
      <c r="D45" s="382"/>
      <c r="E45" s="384"/>
      <c r="F45" s="276" t="s">
        <v>1209</v>
      </c>
      <c r="G45" s="361">
        <f>G6+H6+G9+H9+G12+H12+G15+H15+G18+H18+G21+H21+G24+H24+G27+H27+G30+H30+G33+H33+G36+H36+G39+H39+G42+H42</f>
        <v>103439.44</v>
      </c>
      <c r="H45" s="360"/>
      <c r="I45" s="412">
        <f>I6+J6+I9+J9+I12+J12+I15+J15+I18+J18+I21+J21+I24+J24+I27+J27+I30+J30+I33+J33+I36+J36+I39+J39+I42+J42</f>
        <v>224740.33999999997</v>
      </c>
      <c r="J45" s="414"/>
      <c r="K45" s="412">
        <f>K6+L6+K9+L9+K12+L12+K15+L15+K18+L18+K21+L21+K24+L24+K27+L27+K30+L30+K33+L33+K36+L36+K39+L39+K42+L42</f>
        <v>390408.70999999996</v>
      </c>
      <c r="L45" s="414"/>
      <c r="M45" s="412">
        <f>M6+N6+M9+N9+M12+N12+M15+N15+M18+N18+M21+N21+M24+N24+M27+N27+M30+N30+M33+N33+M36+N36+M39+N39+M42+N42</f>
        <v>484003.19999999995</v>
      </c>
      <c r="N45" s="414"/>
      <c r="O45" s="412">
        <f>O6+P6+O9+P9+O12+P12+O15+P15+O18+P18+O21+P21+O24+P24+O27+P27+O30+P30+O33+P33+O36+P36+O39+P39+O42+P42</f>
        <v>435078.75999999995</v>
      </c>
      <c r="P45" s="414"/>
      <c r="Q45" s="412">
        <f>Q6+R6+Q9+R9+Q12+R12+Q15+R15+Q18+R18+Q21+R21+Q24+R24+Q27+R27+Q30+R30+Q33+R33+Q36+R36+Q39+R39+Q42+R42</f>
        <v>442926.47000000003</v>
      </c>
      <c r="R45" s="414"/>
      <c r="S45" s="412">
        <f>S6+T6+S9+T9+S12+T12+S15+T15+S18+T18+S21+T21+S24+T24+S27+T27+S30+T30+S33+T33+S36+T36+S39+T39+S42+T42</f>
        <v>447912.79000000004</v>
      </c>
      <c r="T45" s="414"/>
      <c r="U45" s="412">
        <f>U6+V6+U9+V9+U12+V12+U15+V15+U18+V18+U21+V21+U24+V24+U27+V27+U30+V30+U33+V33+U36+V36+U39+V39+U42+V42</f>
        <v>420037.98000000004</v>
      </c>
      <c r="V45" s="414"/>
      <c r="W45" s="412">
        <f>W6+X6+W9+X9+W12+X12+W15+X15+W18+X18+W21+X21+W24+X24+W27+X27+W30+X30+W33+X33+W36+X36+W39+X39+W42+X42</f>
        <v>274377.16000000003</v>
      </c>
      <c r="X45" s="414"/>
      <c r="Y45" s="412">
        <f>Y6+Z6+Y9+Z9+Y12+Z12+Y15+Z15+Y18+Z18+Y21+Z21+Y24+Z24+Y27+Z27+Y30+Z30+Y33+Z33+Y36+Z36+Y39+Z39+Y42+Z42</f>
        <v>219116.39</v>
      </c>
      <c r="Z45" s="414"/>
      <c r="AA45" s="412">
        <f>AA6+AB6+AA9+AB9+AA12+AB12+AA15+AB15+AA18+AB18+AA21+AB21+AA24+AB24+AA27+AB27+AA30+AB30+AA33+AB33+AA36+AB36+AA39+AB39+AA42+AB42</f>
        <v>113330.79</v>
      </c>
      <c r="AB45" s="414"/>
      <c r="AC45" s="412">
        <f>AC6+AD6+AC9+AD9+AC12+AD12+AC15+AD15+AC18+AD18+AC21+AD21+AC24+AD24+AC27+AD27+AC30+AD30+AC33+AD33+AC36+AD36+AC39+AD39+AC42+AD42-0.01</f>
        <v>60437.98</v>
      </c>
      <c r="AD45" s="413"/>
    </row>
    <row r="46" spans="3:32" ht="14.1" customHeight="1" thickBot="1" x14ac:dyDescent="0.3">
      <c r="C46" s="391">
        <f>Resumo!E20</f>
        <v>3615810.048949027</v>
      </c>
      <c r="D46" s="392"/>
      <c r="E46" s="385"/>
      <c r="F46" s="277" t="s">
        <v>1213</v>
      </c>
      <c r="G46" s="415">
        <f>G45</f>
        <v>103439.44</v>
      </c>
      <c r="H46" s="416"/>
      <c r="I46" s="415">
        <f>G46+I45</f>
        <v>328179.77999999997</v>
      </c>
      <c r="J46" s="416"/>
      <c r="K46" s="415">
        <f>I46+K45</f>
        <v>718588.49</v>
      </c>
      <c r="L46" s="416"/>
      <c r="M46" s="364">
        <f>K46+M45</f>
        <v>1202591.69</v>
      </c>
      <c r="N46" s="363"/>
      <c r="O46" s="364">
        <f>M46+O45</f>
        <v>1637670.45</v>
      </c>
      <c r="P46" s="363"/>
      <c r="Q46" s="364">
        <f>O46+Q45</f>
        <v>2080596.92</v>
      </c>
      <c r="R46" s="363"/>
      <c r="S46" s="364">
        <f>Q46+S45+0.02</f>
        <v>2528509.73</v>
      </c>
      <c r="T46" s="363"/>
      <c r="U46" s="362">
        <f>S46+U45</f>
        <v>2948547.71</v>
      </c>
      <c r="V46" s="363"/>
      <c r="W46" s="364">
        <f>U46+W45</f>
        <v>3222924.87</v>
      </c>
      <c r="X46" s="363"/>
      <c r="Y46" s="364">
        <f>W46+Y45+0.02</f>
        <v>3442041.2800000003</v>
      </c>
      <c r="Z46" s="363"/>
      <c r="AA46" s="362">
        <f>Y46+AA45</f>
        <v>3555372.0700000003</v>
      </c>
      <c r="AB46" s="363"/>
      <c r="AC46" s="364">
        <f>AA46+AC45</f>
        <v>3615810.0500000003</v>
      </c>
      <c r="AD46" s="365"/>
      <c r="AF46" s="290"/>
    </row>
    <row r="47" spans="3:32" x14ac:dyDescent="0.25">
      <c r="G47" s="417" t="s">
        <v>1245</v>
      </c>
      <c r="H47" s="418"/>
      <c r="I47" s="418"/>
      <c r="J47" s="418"/>
      <c r="K47" s="418"/>
      <c r="L47" s="418"/>
      <c r="M47" s="417" t="s">
        <v>1246</v>
      </c>
      <c r="N47" s="418"/>
      <c r="O47" s="418"/>
      <c r="P47" s="418"/>
      <c r="Q47" s="418"/>
      <c r="R47" s="418"/>
      <c r="S47" s="417" t="s">
        <v>1247</v>
      </c>
      <c r="T47" s="418"/>
      <c r="U47" s="418"/>
      <c r="V47" s="418"/>
      <c r="W47" s="418"/>
      <c r="X47" s="418"/>
      <c r="Y47" s="417" t="s">
        <v>1248</v>
      </c>
      <c r="Z47" s="418"/>
      <c r="AA47" s="418"/>
      <c r="AB47" s="418"/>
      <c r="AC47" s="418"/>
      <c r="AD47" s="418"/>
    </row>
    <row r="48" spans="3:32" x14ac:dyDescent="0.25">
      <c r="E48" s="290"/>
      <c r="G48" s="411"/>
      <c r="H48" s="411"/>
      <c r="I48" s="411"/>
      <c r="J48" s="411"/>
      <c r="K48" s="411"/>
      <c r="L48" s="411"/>
      <c r="M48" s="283"/>
      <c r="N48" s="283"/>
      <c r="O48" s="283"/>
      <c r="P48" s="283"/>
      <c r="Q48" s="283"/>
      <c r="R48" s="283"/>
      <c r="S48" s="283"/>
      <c r="T48" s="283"/>
      <c r="U48" s="283"/>
      <c r="V48" s="283"/>
      <c r="W48" s="283"/>
      <c r="X48" s="283"/>
      <c r="Y48" s="283"/>
      <c r="Z48" s="283"/>
      <c r="AA48" s="283"/>
      <c r="AB48" s="283"/>
      <c r="AC48" s="283"/>
      <c r="AD48" s="283"/>
      <c r="AE48" s="283"/>
    </row>
    <row r="49" spans="5:31" x14ac:dyDescent="0.25">
      <c r="F49" s="278"/>
      <c r="G49" s="283"/>
      <c r="H49" s="283"/>
      <c r="I49" s="283"/>
      <c r="J49" s="283"/>
      <c r="K49" s="283"/>
      <c r="L49" s="283"/>
      <c r="M49" s="283"/>
      <c r="N49" s="283"/>
      <c r="O49" s="283"/>
      <c r="P49" s="283"/>
      <c r="Q49" s="283"/>
      <c r="R49" s="283"/>
      <c r="S49" s="283"/>
      <c r="T49" s="283"/>
      <c r="U49" s="283"/>
      <c r="V49" s="283"/>
      <c r="W49" s="283"/>
      <c r="X49" s="283"/>
      <c r="Y49" s="283"/>
      <c r="Z49" s="283"/>
      <c r="AA49" s="283"/>
      <c r="AB49" s="283"/>
      <c r="AC49" s="283"/>
      <c r="AE49" s="283"/>
    </row>
    <row r="50" spans="5:31" ht="13.8" x14ac:dyDescent="0.25">
      <c r="E50" s="91"/>
      <c r="F50" s="278"/>
    </row>
    <row r="51" spans="5:31" x14ac:dyDescent="0.25">
      <c r="F51" s="278"/>
    </row>
    <row r="52" spans="5:31" x14ac:dyDescent="0.25">
      <c r="F52" s="278"/>
    </row>
    <row r="53" spans="5:31" x14ac:dyDescent="0.25">
      <c r="F53" s="278"/>
    </row>
  </sheetData>
  <mergeCells count="83">
    <mergeCell ref="G47:L47"/>
    <mergeCell ref="M47:R47"/>
    <mergeCell ref="S47:X47"/>
    <mergeCell ref="Y47:AD47"/>
    <mergeCell ref="G48:L48"/>
    <mergeCell ref="C2:AD2"/>
    <mergeCell ref="C4:C6"/>
    <mergeCell ref="D4:E6"/>
    <mergeCell ref="C7:C9"/>
    <mergeCell ref="C10:C12"/>
    <mergeCell ref="D7:E9"/>
    <mergeCell ref="D10:E12"/>
    <mergeCell ref="C13:C15"/>
    <mergeCell ref="C16:C18"/>
    <mergeCell ref="D13:E15"/>
    <mergeCell ref="C19:C21"/>
    <mergeCell ref="D16:E18"/>
    <mergeCell ref="C22:C24"/>
    <mergeCell ref="D19:E21"/>
    <mergeCell ref="C25:C27"/>
    <mergeCell ref="D22:E24"/>
    <mergeCell ref="C28:C30"/>
    <mergeCell ref="D28:E30"/>
    <mergeCell ref="D25:E27"/>
    <mergeCell ref="I43:J43"/>
    <mergeCell ref="C46:D46"/>
    <mergeCell ref="G46:H46"/>
    <mergeCell ref="I46:J46"/>
    <mergeCell ref="D40:E42"/>
    <mergeCell ref="C31:C33"/>
    <mergeCell ref="D31:E33"/>
    <mergeCell ref="C43:D45"/>
    <mergeCell ref="E43:E46"/>
    <mergeCell ref="G43:H43"/>
    <mergeCell ref="C34:C36"/>
    <mergeCell ref="D34:E36"/>
    <mergeCell ref="C37:C39"/>
    <mergeCell ref="D37:E39"/>
    <mergeCell ref="C40:C42"/>
    <mergeCell ref="K43:L43"/>
    <mergeCell ref="M43:N43"/>
    <mergeCell ref="O43:P43"/>
    <mergeCell ref="Q43:R43"/>
    <mergeCell ref="S43:T43"/>
    <mergeCell ref="Q44:R44"/>
    <mergeCell ref="S44:T44"/>
    <mergeCell ref="G45:H45"/>
    <mergeCell ref="I45:J45"/>
    <mergeCell ref="K45:L45"/>
    <mergeCell ref="M45:N45"/>
    <mergeCell ref="O45:P45"/>
    <mergeCell ref="Q45:R45"/>
    <mergeCell ref="S45:T45"/>
    <mergeCell ref="G44:H44"/>
    <mergeCell ref="I44:J44"/>
    <mergeCell ref="K44:L44"/>
    <mergeCell ref="M44:N44"/>
    <mergeCell ref="O44:P44"/>
    <mergeCell ref="K46:L46"/>
    <mergeCell ref="M46:N46"/>
    <mergeCell ref="O46:P46"/>
    <mergeCell ref="Q46:R46"/>
    <mergeCell ref="S46:T46"/>
    <mergeCell ref="U43:V43"/>
    <mergeCell ref="W43:X43"/>
    <mergeCell ref="Y43:Z43"/>
    <mergeCell ref="U44:V44"/>
    <mergeCell ref="W44:X44"/>
    <mergeCell ref="Y44:Z44"/>
    <mergeCell ref="U45:V45"/>
    <mergeCell ref="W45:X45"/>
    <mergeCell ref="Y45:Z45"/>
    <mergeCell ref="U46:V46"/>
    <mergeCell ref="W46:X46"/>
    <mergeCell ref="Y46:Z46"/>
    <mergeCell ref="AA45:AB45"/>
    <mergeCell ref="AC45:AD45"/>
    <mergeCell ref="AA46:AB46"/>
    <mergeCell ref="AC46:AD46"/>
    <mergeCell ref="AA43:AB43"/>
    <mergeCell ref="AC43:AD43"/>
    <mergeCell ref="AA44:AB44"/>
    <mergeCell ref="AC44:AD44"/>
  </mergeCells>
  <printOptions horizontalCentered="1"/>
  <pageMargins left="0.62992125984251968" right="0.51181102362204722" top="1.7322834645669292" bottom="0.78740157480314965" header="0.59055118110236227" footer="0.31496062992125984"/>
  <pageSetup paperSize="9" scale="66" orientation="landscape" r:id="rId1"/>
  <headerFooter>
    <oddHeader>&amp;L&amp;G</oddHeader>
    <oddFooter>&amp;RSEÇÃO IV - 1/1</oddFooter>
  </headerFooter>
  <ignoredErrors>
    <ignoredError sqref="I45 K45 M45 O45 Q45 S46 U45 W45 Y46 AA45 S30:T30 R15" formula="1"/>
  </ignoredError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5</vt:i4>
      </vt:variant>
      <vt:variant>
        <vt:lpstr>Intervalos Nomeados</vt:lpstr>
      </vt:variant>
      <vt:variant>
        <vt:i4>3</vt:i4>
      </vt:variant>
    </vt:vector>
  </HeadingPairs>
  <TitlesOfParts>
    <vt:vector size="8" baseType="lpstr">
      <vt:lpstr>Resumo</vt:lpstr>
      <vt:lpstr>Orçamento de Referencia </vt:lpstr>
      <vt:lpstr>Composição</vt:lpstr>
      <vt:lpstr>Cálculo BDI</vt:lpstr>
      <vt:lpstr>Cronograma </vt:lpstr>
      <vt:lpstr>'Cronograma '!Area_de_impressao</vt:lpstr>
      <vt:lpstr>'Orçamento de Referencia '!Titulos_de_impressao</vt:lpstr>
      <vt:lpstr>Resumo!Titulos_de_impressao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Ana Paula Benedetti</cp:lastModifiedBy>
  <cp:revision>0</cp:revision>
  <cp:lastPrinted>2022-05-13T18:22:21Z</cp:lastPrinted>
  <dcterms:created xsi:type="dcterms:W3CDTF">2021-08-19T21:34:38Z</dcterms:created>
  <dcterms:modified xsi:type="dcterms:W3CDTF">2022-05-13T18:53:14Z</dcterms:modified>
</cp:coreProperties>
</file>